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2">'07'!$A$1:$T$70</definedName>
    <definedName name="_xlnm.Print_Area" localSheetId="23">'08'!$A$1:$N$27</definedName>
    <definedName name="_xlnm.Print_Area" localSheetId="26">'11'!$A$1:$U$28</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9.xml><?xml version="1.0" encoding="utf-8"?>
<comments xmlns="http://schemas.openxmlformats.org/spreadsheetml/2006/main">
  <authors>
    <author>User</author>
  </authors>
  <commentList>
    <comment ref="U15"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<sst xmlns="http://schemas.openxmlformats.org/spreadsheetml/2006/main" count="4880" uniqueCount="808">
  <si>
    <t>I</t>
  </si>
  <si>
    <t>II</t>
  </si>
  <si>
    <t xml:space="preserve">Tổng số
</t>
  </si>
  <si>
    <t>Số việc</t>
  </si>
  <si>
    <t>NGƯỜI LẬP BIỂU</t>
  </si>
  <si>
    <t xml:space="preserve">A
</t>
  </si>
  <si>
    <t>A</t>
  </si>
  <si>
    <t>Chia ra:</t>
  </si>
  <si>
    <t>Đơn vị tính: Việc</t>
  </si>
  <si>
    <t>III</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</si>
  <si>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</si>
  <si>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</si>
  <si>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</si>
  <si>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</si>
  <si>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</si>
  <si>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</si>
  <si>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</si>
  <si>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</si>
  <si>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</si>
  <si>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</si>
  <si>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</si>
  <si>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</si>
  <si>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</si>
  <si>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</si>
  <si>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</si>
  <si>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</si>
  <si>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</si>
  <si>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</si>
  <si>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</si>
  <si>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</si>
  <si>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</si>
  <si>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</si>
  <si>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</si>
  <si>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</si>
  <si>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</si>
  <si>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</si>
  <si>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</si>
  <si>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</si>
  <si>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</si>
  <si>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</si>
  <si>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</si>
  <si>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</si>
  <si>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</si>
  <si>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</si>
  <si>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</si>
  <si>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</si>
  <si>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</si>
  <si>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</si>
  <si>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</si>
  <si>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</si>
  <si>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</si>
  <si>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</si>
  <si>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</si>
  <si>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</si>
  <si>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</si>
  <si>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</si>
  <si>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</si>
  <si>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</si>
  <si>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</si>
  <si>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</si>
  <si>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</si>
  <si>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</si>
  <si>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</si>
  <si>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</si>
  <si>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</si>
  <si>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</si>
  <si>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</si>
  <si>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</si>
  <si>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</si>
  <si>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</si>
  <si>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</si>
  <si>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</si>
  <si>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</si>
  <si>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</si>
  <si>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</si>
  <si>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</si>
  <si>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</si>
  <si>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</si>
  <si>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</si>
  <si>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</si>
  <si>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</si>
  <si>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</si>
  <si>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</si>
  <si>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</si>
  <si>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</si>
  <si>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</si>
  <si>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</si>
  <si>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</si>
  <si>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</si>
  <si>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</si>
  <si>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</si>
  <si>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</si>
  <si>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</si>
  <si>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</si>
  <si>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</si>
  <si>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</si>
  <si>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</si>
  <si>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</si>
  <si>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</si>
  <si>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</si>
  <si>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</si>
  <si>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</si>
  <si>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</si>
  <si>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</si>
  <si>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</si>
  <si>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</si>
  <si>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</si>
  <si>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</si>
  <si>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</si>
  <si>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</si>
  <si>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</si>
  <si>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</si>
  <si>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</si>
  <si>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</si>
  <si>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</si>
  <si>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</si>
  <si>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</si>
  <si>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</si>
  <si>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</si>
  <si>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</si>
  <si>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</si>
  <si>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</si>
  <si>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</si>
  <si>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</si>
  <si>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</si>
  <si>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</si>
  <si>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</si>
  <si>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</si>
  <si>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</si>
  <si>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</si>
  <si>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</si>
  <si>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</si>
  <si>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</si>
  <si>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</si>
  <si>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</si>
  <si>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</si>
  <si>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</si>
  <si>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</si>
  <si>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</si>
  <si>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</si>
  <si>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</si>
  <si>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</si>
  <si>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</si>
  <si>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</si>
  <si>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</si>
  <si>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</si>
  <si>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</si>
  <si>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</si>
  <si>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</si>
  <si>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</si>
  <si>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</si>
  <si>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</si>
  <si>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</si>
  <si>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</si>
  <si>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</si>
  <si>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</si>
  <si>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</si>
  <si>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</si>
  <si>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</si>
  <si>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</si>
  <si>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</si>
  <si>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</si>
  <si>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</si>
  <si>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</si>
  <si>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</si>
  <si>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</si>
  <si>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</si>
  <si>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</si>
  <si>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</si>
  <si>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</si>
  <si>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</si>
  <si>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</si>
  <si>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</si>
  <si>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</si>
  <si>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</si>
  <si>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</si>
  <si>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</si>
  <si>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</si>
  <si>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</si>
  <si>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</si>
  <si>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</si>
  <si>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</si>
  <si>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</si>
  <si>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</si>
  <si>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</si>
  <si>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</si>
  <si>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</si>
  <si>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</si>
  <si>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</si>
  <si>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</si>
  <si>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</si>
  <si>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</si>
  <si>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</si>
  <si>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</si>
  <si>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</si>
  <si>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</si>
  <si>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</si>
  <si>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</si>
  <si>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</si>
  <si>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</si>
  <si>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</si>
  <si>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</si>
  <si>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</si>
  <si>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</si>
  <si>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</si>
  <si>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</si>
  <si>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</si>
  <si>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</si>
  <si>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</si>
  <si>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</si>
  <si>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</si>
  <si>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</si>
  <si>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</si>
  <si>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</si>
  <si>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</si>
  <si>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</si>
  <si>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</si>
  <si>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</si>
  <si>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</si>
  <si>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</si>
  <si>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</si>
  <si>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</si>
  <si>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</si>
  <si>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</si>
  <si>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</si>
  <si>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</si>
  <si>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</si>
  <si>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</si>
  <si>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</si>
  <si>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</si>
  <si>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</si>
  <si>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</si>
  <si>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</si>
  <si>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</si>
  <si>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</si>
  <si>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</si>
  <si>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</si>
  <si>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</si>
  <si>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</si>
  <si>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</si>
  <si>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</si>
  <si>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</si>
  <si>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</si>
  <si>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</si>
  <si>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</si>
  <si>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</si>
  <si>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</si>
  <si>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</si>
  <si>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</si>
  <si>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</si>
  <si>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</si>
  <si>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</si>
  <si>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</si>
  <si>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</si>
  <si>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</si>
  <si>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</si>
  <si>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</si>
  <si>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</si>
  <si>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</si>
  <si>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</si>
  <si>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</si>
  <si>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</si>
  <si>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</si>
  <si>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</si>
  <si>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</si>
  <si>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</si>
  <si>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</si>
  <si>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</si>
  <si>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</si>
  <si>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</si>
  <si>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</si>
  <si>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</si>
  <si>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</si>
  <si>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</si>
  <si>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</si>
  <si>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</si>
  <si>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</si>
  <si>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</si>
  <si>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</si>
  <si>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</si>
  <si>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</si>
  <si>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</si>
  <si>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</si>
  <si>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</si>
  <si>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</si>
  <si>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</si>
  <si>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</si>
  <si>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</si>
  <si>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</si>
  <si>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</si>
  <si>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</si>
  <si>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</si>
  <si>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</si>
  <si>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</si>
  <si>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</si>
  <si>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</si>
  <si>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</si>
  <si>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</si>
  <si>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</si>
  <si>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</si>
  <si>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</si>
  <si>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</si>
  <si>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</si>
  <si>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</si>
  <si>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</si>
  <si>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</si>
  <si>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</si>
  <si>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</si>
  <si>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</si>
  <si>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</si>
  <si>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</si>
  <si>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</si>
  <si>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</si>
  <si>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</si>
  <si>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</si>
  <si>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</si>
  <si>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</si>
  <si>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</si>
  <si>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</si>
  <si>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</si>
  <si>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</si>
  <si>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</si>
  <si>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</si>
  <si>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</si>
  <si>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</si>
  <si>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</si>
  <si>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</si>
  <si>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</si>
  <si>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</si>
  <si>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</si>
  <si>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</si>
  <si>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</si>
  <si>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</si>
  <si>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</si>
  <si>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</si>
  <si>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</si>
  <si>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</si>
  <si>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</si>
  <si>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</si>
  <si>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</si>
  <si>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</si>
  <si>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</si>
  <si>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</si>
  <si>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</si>
  <si>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</si>
  <si>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</si>
  <si>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</si>
  <si>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</si>
  <si>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</si>
  <si>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</si>
  <si>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</si>
  <si>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</si>
  <si>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</si>
  <si>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</si>
  <si>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</si>
  <si>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</si>
  <si>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</si>
  <si>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</si>
  <si>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</si>
  <si>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</si>
  <si>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</si>
  <si>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</si>
  <si>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</si>
  <si>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</si>
  <si>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</si>
  <si>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</si>
  <si>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</si>
  <si>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</si>
  <si>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</si>
  <si>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</si>
  <si>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</si>
  <si>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</si>
  <si>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</si>
  <si>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</si>
  <si>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</si>
  <si>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</si>
  <si>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</si>
  <si>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</si>
  <si>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</si>
  <si>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</si>
  <si>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</si>
  <si>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</si>
  <si>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</si>
  <si>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</si>
  <si>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</si>
  <si>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</si>
  <si>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</si>
  <si>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</si>
  <si>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</si>
  <si>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</si>
  <si>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</si>
  <si>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</si>
  <si>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</si>
  <si>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</si>
  <si>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</si>
  <si>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</si>
  <si>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</si>
  <si>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</si>
  <si>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</si>
  <si>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</si>
  <si>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</si>
  <si>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</si>
  <si>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</si>
  <si>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</si>
  <si>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</si>
  <si>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</si>
  <si>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</si>
  <si>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</si>
  <si>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</si>
  <si>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</si>
  <si>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</si>
  <si>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</si>
  <si>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</si>
  <si>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</si>
  <si>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</si>
  <si>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</si>
  <si>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</si>
  <si>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</si>
  <si>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</si>
  <si>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</si>
  <si>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</si>
  <si>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</si>
  <si>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</si>
  <si>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</si>
  <si>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</si>
  <si>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</si>
  <si>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</si>
  <si>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</si>
  <si>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</si>
  <si>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</si>
  <si>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</si>
  <si>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</si>
  <si>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</si>
  <si>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</si>
  <si>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</si>
  <si>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</si>
  <si>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</si>
  <si>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</si>
  <si>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</si>
  <si>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</si>
  <si>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</si>
  <si>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</si>
  <si>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</si>
  <si>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</si>
  <si>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</si>
  <si>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</si>
  <si>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</si>
  <si>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</si>
  <si>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</si>
  <si>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</si>
  <si>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</si>
  <si>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</si>
  <si>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</si>
  <si>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</si>
  <si>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</si>
  <si>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</si>
  <si>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</si>
  <si>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</si>
  <si>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</si>
  <si>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</si>
  <si>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</si>
  <si>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</si>
  <si>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</si>
  <si>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</si>
  <si>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</si>
  <si>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</si>
  <si>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</si>
  <si>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</si>
  <si>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</si>
  <si>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</si>
  <si>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</si>
  <si>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</si>
  <si>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</si>
  <si>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</si>
  <si>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</si>
  <si>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</si>
  <si>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</si>
  <si>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</si>
  <si>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</si>
  <si>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</si>
  <si>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</si>
  <si>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</si>
  <si>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</si>
  <si>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</si>
  <si>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</si>
  <si>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</si>
  <si>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</si>
  <si>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</si>
  <si>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</si>
  <si>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</si>
  <si>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</si>
  <si>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</si>
  <si>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</si>
  <si>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</si>
  <si>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</si>
  <si>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</si>
  <si>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</si>
  <si>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</si>
  <si>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</si>
  <si>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</si>
  <si>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</si>
  <si>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</si>
  <si>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</si>
  <si>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</si>
  <si>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</si>
  <si>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THÀNH PHỐ</t>
  </si>
  <si>
    <t>CỤC TRƯỞNG</t>
  </si>
  <si>
    <t>TOÀN TỈNH</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</si>
  <si>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</si>
  <si>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</si>
  <si>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</si>
  <si>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</si>
  <si>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</si>
  <si>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</si>
  <si>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</si>
  <si>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</si>
  <si>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</si>
  <si>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</si>
  <si>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</si>
  <si>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</si>
  <si>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</si>
  <si>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</si>
  <si>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</si>
  <si>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</si>
  <si>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</si>
  <si>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</si>
  <si>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</si>
  <si>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</si>
  <si>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</si>
  <si>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</si>
  <si>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</si>
  <si>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</si>
  <si>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</si>
  <si>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</si>
  <si>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</si>
  <si>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</si>
  <si>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</si>
  <si>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</si>
  <si>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</si>
  <si>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</si>
  <si>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</si>
  <si>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</si>
  <si>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</si>
  <si>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</si>
  <si>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</si>
  <si>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</si>
  <si>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</si>
  <si>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</si>
  <si>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</si>
  <si>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</si>
  <si>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</si>
  <si>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</si>
  <si>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</si>
  <si>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</si>
  <si>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</si>
  <si>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</si>
  <si>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</si>
  <si>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</si>
  <si>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</si>
  <si>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</si>
  <si>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</si>
  <si>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</si>
  <si>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</si>
  <si>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</si>
  <si>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</si>
  <si>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</si>
  <si>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</si>
  <si>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</si>
  <si>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</si>
  <si>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</si>
  <si>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</si>
  <si>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</si>
  <si>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</si>
  <si>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</si>
  <si>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</si>
  <si>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</si>
  <si>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</si>
  <si>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</si>
  <si>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</si>
  <si>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</si>
  <si>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</si>
  <si>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</si>
  <si>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</si>
  <si>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</si>
  <si>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</si>
  <si>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</si>
  <si>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</si>
  <si>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</si>
  <si>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</si>
  <si>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</si>
  <si>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</si>
  <si>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</si>
  <si>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</si>
  <si>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</si>
  <si>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</si>
  <si>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</si>
  <si>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</si>
  <si>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</si>
  <si>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</si>
  <si>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</si>
  <si>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</si>
  <si>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</si>
  <si>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</si>
  <si>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</si>
  <si>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</si>
  <si>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</si>
  <si>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</si>
  <si>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</si>
  <si>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</si>
  <si>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</si>
  <si>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</si>
  <si>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</si>
  <si>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</si>
  <si>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</si>
  <si>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</si>
  <si>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</si>
  <si>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</si>
  <si>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</si>
  <si>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</si>
  <si>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</si>
  <si>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</si>
  <si>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</si>
  <si>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</si>
  <si>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</si>
  <si>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</si>
  <si>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</si>
  <si>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</si>
  <si>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</si>
  <si>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</si>
  <si>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</si>
  <si>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</si>
  <si>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 xml:space="preserve"> Ban hành theo TT số: 01/2013/TT-BTP</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</si>
  <si>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</si>
  <si>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</si>
  <si>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</si>
  <si>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</si>
  <si>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</si>
  <si>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</si>
  <si>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</si>
  <si>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</si>
  <si>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</si>
  <si>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</si>
  <si>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</si>
  <si>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</si>
  <si>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</si>
  <si>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</si>
  <si>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</si>
  <si>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</si>
  <si>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</si>
  <si>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</si>
  <si>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</si>
  <si>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</si>
  <si>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</si>
  <si>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</si>
  <si>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</si>
  <si>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</si>
  <si>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</si>
  <si>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</si>
  <si>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</si>
  <si>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</si>
  <si>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</si>
  <si>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</si>
  <si>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</si>
  <si>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</si>
  <si>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</si>
  <si>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</si>
  <si>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Tổng số</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</si>
  <si>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</si>
  <si>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</si>
  <si>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</si>
  <si>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</si>
  <si>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</si>
  <si>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</si>
  <si>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</si>
  <si>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</si>
  <si>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</si>
  <si>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</si>
  <si>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</si>
  <si>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</si>
  <si>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</si>
  <si>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</si>
  <si>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</si>
  <si>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</si>
  <si>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</si>
  <si>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</si>
  <si>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</si>
  <si>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</si>
  <si>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</si>
  <si>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</si>
  <si>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</si>
  <si>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</si>
  <si>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</si>
  <si>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</si>
  <si>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</si>
  <si>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</si>
  <si>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</si>
  <si>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</si>
  <si>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</si>
  <si>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</si>
  <si>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</si>
  <si>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</si>
  <si>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</si>
  <si>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</si>
  <si>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</si>
  <si>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</si>
  <si>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</si>
  <si>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</si>
  <si>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</si>
  <si>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</si>
  <si>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</si>
  <si>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</si>
  <si>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</si>
  <si>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</si>
  <si>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</si>
  <si>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Chi cục Thi hành án thành phố</t>
  </si>
  <si>
    <t>Chi cục Thi hành án huyện Yên Sơn</t>
  </si>
  <si>
    <t>Chi cục Thi hành án Sơn Dương</t>
  </si>
  <si>
    <t>Chi cục Thi hành án Hàm Yên</t>
  </si>
  <si>
    <t>Chi cục Thi hành án Chiêm Hóa</t>
  </si>
  <si>
    <t>Chi cục Thi hành án Na Hang</t>
  </si>
  <si>
    <t>Chi cục Thi hành án Lâm Bình</t>
  </si>
  <si>
    <t>6 tháng năm 2016</t>
  </si>
  <si>
    <t xml:space="preserve">Nguyễn Tuyên </t>
  </si>
  <si>
    <t xml:space="preserve"> Viện KSND cấp cao</t>
  </si>
  <si>
    <t xml:space="preserve">Ban hành kèm theo TT số 08/2015/TT-BTP </t>
  </si>
  <si>
    <t>Ban hành kèm theo TT số 08/2015/TT-BTP</t>
  </si>
  <si>
    <t xml:space="preserve"> Ban hành kèm theo TT số: 08/2015/TT-BTP</t>
  </si>
  <si>
    <t>Ban hành kèm theo TT số: 08/2015/</t>
  </si>
  <si>
    <t>TT-BTP ngày 26 tháng 6 năm 2015</t>
  </si>
  <si>
    <t>Ban hành kèm theo TT số: 08/2015/TT-BTP</t>
  </si>
  <si>
    <t xml:space="preserve">   KẾT QUẢ THI HÀNH ÁN DÂN SỰ TÍNH BẰNG TIÊN</t>
  </si>
  <si>
    <t>Ghi chú ( chưa tổ chức cưỡng chế )</t>
  </si>
  <si>
    <t xml:space="preserve">Tỉnh Tuyên Quang </t>
  </si>
  <si>
    <t>Cục THADS tỉnh Tuyên Quang</t>
  </si>
  <si>
    <t xml:space="preserve">Nguyễn Văn Quế </t>
  </si>
  <si>
    <t xml:space="preserve">Nguyễn văn Quế </t>
  </si>
  <si>
    <t>Duy Thị Thúy</t>
  </si>
  <si>
    <t>CỤC</t>
  </si>
  <si>
    <t>YEN SON</t>
  </si>
  <si>
    <t>SƠN DUONG</t>
  </si>
  <si>
    <t>HÀM YÊN</t>
  </si>
  <si>
    <t>CHIÊM HÓA</t>
  </si>
  <si>
    <t>NA HANG</t>
  </si>
  <si>
    <t>Lâm Bình</t>
  </si>
  <si>
    <t>YÊN SƠN</t>
  </si>
  <si>
    <t>SON DUONG</t>
  </si>
  <si>
    <t xml:space="preserve">HAM YÊN </t>
  </si>
  <si>
    <t>CHIEM HÓA</t>
  </si>
  <si>
    <t>Cục</t>
  </si>
  <si>
    <t>Thành phố</t>
  </si>
  <si>
    <t>Yên Sơn</t>
  </si>
  <si>
    <t>Hàm yên</t>
  </si>
  <si>
    <t>Sơn duong</t>
  </si>
  <si>
    <t>Chiêm hóa</t>
  </si>
  <si>
    <t>Na hang</t>
  </si>
  <si>
    <t>Yên Son</t>
  </si>
  <si>
    <t>Hàm Yên</t>
  </si>
  <si>
    <t>Na Hang</t>
  </si>
  <si>
    <t xml:space="preserve">Thành phố </t>
  </si>
  <si>
    <t>Yên sơn</t>
  </si>
  <si>
    <t>Số
 biên 
chế
được
giao</t>
  </si>
  <si>
    <t xml:space="preserve">Số 
biên 
chế 
chưa
thực
 hiện
</t>
  </si>
  <si>
    <t>Tổng
số</t>
  </si>
  <si>
    <t>Chấp hành viên
 trong đó:</t>
  </si>
  <si>
    <t>Thẩm tra viên
 trong đó:</t>
  </si>
  <si>
    <t>Thư ký THA
trong đó:</t>
  </si>
  <si>
    <t>Chuyên viên
trong đó:</t>
  </si>
  <si>
    <t>Cán sự
và
tương
đương</t>
  </si>
  <si>
    <t>Kế
toán</t>
  </si>
  <si>
    <t>Thống
kê
viên</t>
  </si>
  <si>
    <t>Công
chức
khác</t>
  </si>
  <si>
    <t>Cao
cấp</t>
  </si>
  <si>
    <t>Trung
cấp</t>
  </si>
  <si>
    <t>Sơ
cấp</t>
  </si>
  <si>
    <t>TTr
VCC</t>
  </si>
  <si>
    <t>TTr
VC</t>
  </si>
  <si>
    <t>TTr
viên</t>
  </si>
  <si>
    <t>Thư 
ký</t>
  </si>
  <si>
    <t>Chi cục THADS TP Tuyên Quang</t>
  </si>
  <si>
    <t>Chi cục THADS huyện Yên Sơn</t>
  </si>
  <si>
    <t>Chi cục THADS huyện Sơn Dương</t>
  </si>
  <si>
    <t>Chi cục THADS huyện Hàm Yên</t>
  </si>
  <si>
    <t>Chi cục THADS huyện Chiêm Hóa</t>
  </si>
  <si>
    <t>Chi cục THADS huyện Na Hang</t>
  </si>
  <si>
    <t>Chi cục THADS huyện Lâm Bình</t>
  </si>
  <si>
    <t>Chia theo trình độ chuyên môn</t>
  </si>
  <si>
    <t>Chia theo số được đào tạo, bồi dưỡng về nghề,
chính trị, quản lý nhà nước</t>
  </si>
  <si>
    <t>Số công chức
trên đại học</t>
  </si>
  <si>
    <t>Số công chức
trung cấp</t>
  </si>
  <si>
    <t>Số
công
chức
khác</t>
  </si>
  <si>
    <t>Quản lý nhà nước
 trong đó:</t>
  </si>
  <si>
    <t>Chính trị trong đó:</t>
  </si>
  <si>
    <t>Chấp
hành
viên</t>
  </si>
  <si>
    <t>Thẩm
tra
viên</t>
  </si>
  <si>
    <t>Thư
ký</t>
  </si>
  <si>
    <t>Ngành
Luật</t>
  </si>
  <si>
    <t>Tổng cộng</t>
  </si>
  <si>
    <r>
      <t xml:space="preserve">Đơn vị nhận báo cáo: </t>
    </r>
    <r>
      <rPr>
        <b/>
        <sz val="9"/>
        <rFont val="Times New Roman"/>
        <family val="1"/>
      </rPr>
      <t>Tổng cục</t>
    </r>
  </si>
  <si>
    <t>06 tháng / năm 2017</t>
  </si>
  <si>
    <t>TP</t>
  </si>
  <si>
    <t>Hà Ích Đạt</t>
  </si>
  <si>
    <t>Nguyễn Hồng Nghị</t>
  </si>
  <si>
    <t>Nguyễn Thị  Dương Hồng</t>
  </si>
  <si>
    <t>Nguyễn Thị Dương Hồng</t>
  </si>
  <si>
    <t>Hoàng Đức Úy</t>
  </si>
  <si>
    <t>Tuyên Quang, ngày 05 tháng 04 năm 2017</t>
  </si>
  <si>
    <t>(Ghi chú: Cột số 5, 7 việc  Cục THADS tỉnh rút lên đã cộng vào thụ lý mới của Cục và giảm trừ vào số việc năm trước chuyển sang của Chi Cục THADS huyện Chiêm Hóa)</t>
  </si>
  <si>
    <t>(Ghi chú: Cột số 5, số tiền 570,000,000đ Cục THADS tỉnh rút lên đã cộng vào thụ lý mới của Cục và giảm trừ số tiền năm trước chuyển sang của Chi Cục THADS huyện Chiêm Hóa)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</si>
</sst>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US$&quot;#,##0_);\(&quot;US$&quot;#,##0\)"/>
    <numFmt numFmtId="189" formatCode="&quot;US$&quot;#,##0_);[Red]\(&quot;US$&quot;#,##0\)"/>
    <numFmt numFmtId="190" formatCode="&quot;US$&quot;#,##0.00_);\(&quot;US$&quot;#,##0.00\)"/>
    <numFmt numFmtId="191" formatCode="&quot;US$&quot;#,##0.00_);[Red]\(&quot;US$&quot;#,##0.00\)"/>
    <numFmt numFmtId="192" formatCode="0.0000E+00;&quot;宐&quot;"/>
    <numFmt numFmtId="193" formatCode="0.0000E+00;&quot;羈&quot;"/>
    <numFmt numFmtId="194" formatCode="0.000E+00;&quot;羈&quot;"/>
    <numFmt numFmtId="195" formatCode="0.00E+00;&quot;羈&quot;"/>
    <numFmt numFmtId="196" formatCode="0.0E+00;&quot;羈&quot;"/>
    <numFmt numFmtId="197" formatCode="0.00000E+00;&quot;羈&quot;"/>
    <numFmt numFmtId="198" formatCode="0.000000E+00;&quot;羈&quot;"/>
    <numFmt numFmtId="199" formatCode="0.0000000E+00;&quot;羈&quot;"/>
    <numFmt numFmtId="200" formatCode="0.00000000E+00;&quot;羈&quot;"/>
    <numFmt numFmtId="201" formatCode="_(* #,##0.0_);_(* \(#,##0.0\);_(* &quot;-&quot;??_);_(@_)"/>
    <numFmt numFmtId="202" formatCode="_(* #,##0_);_(* \(#,##0\);_(* &quot;-&quot;??_);_(@_)"/>
    <numFmt numFmtId="203" formatCode="&quot;Yes&quot;;&quot;Yes&quot;;&quot;No&quot;"/>
    <numFmt numFmtId="204" formatCode="&quot;True&quot;;&quot;True&quot;;&quot;False&quot;"/>
    <numFmt numFmtId="205" formatCode="&quot;On&quot;;&quot;On&quot;;&quot;Off&quot;"/>
    <numFmt numFmtId="206" formatCode="[$€-2]\ #,##0.00_);[Red]\([$€-2]\ #,##0.00\)"/>
    <numFmt numFmtId="207" formatCode="[$-409]h:mm:ss\ AM/PM"/>
    <numFmt numFmtId="208" formatCode="[$-409]dddd\,\ mmmm\ dd\,\ yyyy"/>
    <numFmt numFmtId="209" formatCode="&quot;VND&quot;#,##0_);\(&quot;VND&quot;#,##0\)"/>
    <numFmt numFmtId="210" formatCode="&quot;VND&quot;#,##0_);[Red]\(&quot;VND&quot;#,##0\)"/>
    <numFmt numFmtId="211" formatCode="&quot;VND&quot;#,##0.00_);\(&quot;VND&quot;#,##0.00\)"/>
    <numFmt numFmtId="212" formatCode="&quot;VND&quot;#,##0.00_);[Red]\(&quot;VND&quot;#,##0.00\)"/>
    <numFmt numFmtId="213" formatCode="_(&quot;VND&quot;* #,##0_);_(&quot;VND&quot;* \(#,##0\);_(&quot;VND&quot;* &quot;-&quot;_);_(@_)"/>
    <numFmt numFmtId="214" formatCode="_(&quot;VND&quot;* #,##0.00_);_(&quot;VND&quot;* \(#,##0.00\);_(&quot;VND&quot;* &quot;-&quot;??_);_(@_)"/>
    <numFmt numFmtId="215" formatCode="_(* #,##0.000_);_(* \(#,##0.000\);_(* &quot;-&quot;??_);_(@_)"/>
    <numFmt numFmtId="216" formatCode="#.##0"/>
    <numFmt numFmtId="217" formatCode="_(* #.##0.00_);_(* \(#.##0.00\);_(* &quot;-&quot;??_);_(@_)"/>
    <numFmt numFmtId="218" formatCode="#,##0;[Red]#,##0"/>
    <numFmt numFmtId="219" formatCode="##"/>
    <numFmt numFmtId="220" formatCode="#,##0.000;[Red]#,##0.000"/>
    <numFmt numFmtId="221" formatCode="#,##0_ ;[Red]\-#,##0\ "/>
    <numFmt numFmtId="222" formatCode="#,##0.00;[Red]#,##0.00"/>
    <numFmt numFmtId="223" formatCode="#.##0.00;[Red]#.##0.00"/>
    <numFmt numFmtId="224" formatCode="#.##0.000;[Red]#.##0.000"/>
    <numFmt numFmtId="225" formatCode="#.##0.0000;[Red]#.##0.0000"/>
    <numFmt numFmtId="226" formatCode="0.0"/>
    <numFmt numFmtId="227" formatCode="0.000"/>
  </numFmts>
  <fonts count="17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1"/>
      <color indexed="8"/>
      <name val="Times New Roman"/>
      <family val="1"/>
    </font>
    <font>
      <sz val="12"/>
      <color indexed="13"/>
      <name val=".VnTime"/>
      <family val="2"/>
    </font>
    <font>
      <sz val="12"/>
      <color indexed="8"/>
      <name val="Times New Roman"/>
      <family val="1"/>
    </font>
    <font>
      <b/>
      <sz val="10"/>
      <color indexed="12"/>
      <name val="Times New Roman"/>
      <family val="1"/>
    </font>
    <font>
      <sz val="7"/>
      <name val="Times New Roman"/>
      <family val="1"/>
    </font>
    <font>
      <sz val="10"/>
      <color indexed="14"/>
      <name val="Times New Roman"/>
      <family val="1"/>
    </font>
    <font>
      <b/>
      <sz val="10"/>
      <color indexed="14"/>
      <name val="Times New Roman"/>
      <family val="1"/>
    </font>
    <font>
      <sz val="8"/>
      <name val=".VnHelvetInsH"/>
      <family val="2"/>
    </font>
    <font>
      <b/>
      <sz val="10"/>
      <color indexed="10"/>
      <name val="Arial"/>
      <family val="2"/>
    </font>
    <font>
      <b/>
      <sz val="10"/>
      <color indexed="8"/>
      <name val="Arial"/>
      <family val="2"/>
    </font>
    <font>
      <b/>
      <sz val="8"/>
      <name val=".VnHelvetInsH"/>
      <family val="0"/>
    </font>
    <font>
      <b/>
      <sz val="9"/>
      <name val=".VnHelvetInsH"/>
      <family val="0"/>
    </font>
    <font>
      <i/>
      <sz val="10"/>
      <name val="Arial"/>
      <family val="2"/>
    </font>
    <font>
      <sz val="9"/>
      <color indexed="53"/>
      <name val="Times New Roman"/>
      <family val="1"/>
    </font>
    <font>
      <b/>
      <sz val="10"/>
      <color indexed="53"/>
      <name val="Times New Roman"/>
      <family val="1"/>
    </font>
    <font>
      <sz val="10"/>
      <color indexed="53"/>
      <name val="Times New Roman"/>
      <family val="1"/>
    </font>
    <font>
      <b/>
      <sz val="10"/>
      <color indexed="10"/>
      <name val="Times New Roman"/>
      <family val="1"/>
    </font>
    <font>
      <sz val="8"/>
      <color indexed="10"/>
      <name val="Times New Roman"/>
      <family val="1"/>
    </font>
    <font>
      <sz val="9"/>
      <color indexed="10"/>
      <name val="Times New Roman"/>
      <family val="1"/>
    </font>
    <font>
      <b/>
      <sz val="9"/>
      <color indexed="14"/>
      <name val="Times New Roman"/>
      <family val="1"/>
    </font>
    <font>
      <sz val="11"/>
      <color indexed="8"/>
      <name val="Times New Roman"/>
      <family val="1"/>
    </font>
    <font>
      <b/>
      <sz val="8"/>
      <color indexed="14"/>
      <name val="Times New Roman"/>
      <family val="1"/>
    </font>
    <font>
      <b/>
      <sz val="8"/>
      <color indexed="10"/>
      <name val="Times New Roman"/>
      <family val="1"/>
    </font>
    <font>
      <sz val="8"/>
      <color indexed="10"/>
      <name val=".VnTime"/>
      <family val="0"/>
    </font>
    <font>
      <sz val="8"/>
      <color indexed="12"/>
      <name val=".VnTime"/>
      <family val="0"/>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VnTime"/>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9"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59"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59"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9"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9"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59"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59"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9"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9"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9"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9"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9"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60"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60"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6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60"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60"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60"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60"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60"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60"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60"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60"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60"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61"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62" fillId="37" borderId="1" applyNumberFormat="0" applyAlignment="0" applyProtection="0"/>
    <xf numFmtId="0" fontId="44" fillId="38" borderId="2" applyNumberFormat="0" applyAlignment="0" applyProtection="0"/>
    <xf numFmtId="0" fontId="4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3" fillId="39" borderId="3" applyNumberFormat="0" applyAlignment="0" applyProtection="0"/>
    <xf numFmtId="0" fontId="45" fillId="40" borderId="4" applyNumberFormat="0" applyAlignment="0" applyProtection="0"/>
    <xf numFmtId="0" fontId="45" fillId="40" borderId="4" applyNumberFormat="0" applyAlignment="0" applyProtection="0"/>
    <xf numFmtId="0" fontId="16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5"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66"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67"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68"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6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9" fillId="42" borderId="1" applyNumberFormat="0" applyAlignment="0" applyProtection="0"/>
    <xf numFmtId="0" fontId="51" fillId="9" borderId="2" applyNumberFormat="0" applyAlignment="0" applyProtection="0"/>
    <xf numFmtId="0" fontId="51" fillId="9" borderId="2" applyNumberFormat="0" applyAlignment="0" applyProtection="0"/>
    <xf numFmtId="0" fontId="170"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71"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72"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74"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7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889">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8"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59"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7" fillId="3" borderId="20" xfId="136" applyNumberFormat="1" applyFont="1" applyFill="1" applyBorder="1" applyAlignment="1">
      <alignment vertical="center"/>
      <protection/>
    </xf>
    <xf numFmtId="3" fontId="62" fillId="3" borderId="20" xfId="136" applyNumberFormat="1" applyFont="1" applyFill="1" applyBorder="1" applyAlignment="1">
      <alignment vertical="center"/>
      <protection/>
    </xf>
    <xf numFmtId="49" fontId="63"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8"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65"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6"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7" fillId="0" borderId="0" xfId="136" applyNumberFormat="1" applyFont="1" applyBorder="1">
      <alignment/>
      <protection/>
    </xf>
    <xf numFmtId="49" fontId="68" fillId="0" borderId="0" xfId="136" applyNumberFormat="1" applyFont="1" applyBorder="1" applyAlignment="1">
      <alignment wrapText="1"/>
      <protection/>
    </xf>
    <xf numFmtId="49" fontId="6" fillId="0" borderId="0" xfId="136" applyNumberFormat="1" applyFont="1" applyBorder="1">
      <alignment/>
      <protection/>
    </xf>
    <xf numFmtId="49" fontId="45" fillId="0" borderId="0" xfId="136" applyNumberFormat="1" applyFont="1" applyBorder="1" applyAlignment="1">
      <alignment horizontal="center" wrapText="1"/>
      <protection/>
    </xf>
    <xf numFmtId="49" fontId="45" fillId="0" borderId="0" xfId="136" applyNumberFormat="1" applyFont="1" applyFill="1" applyBorder="1" applyAlignment="1">
      <alignment horizontal="center" wrapText="1"/>
      <protection/>
    </xf>
    <xf numFmtId="49" fontId="69"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1" fillId="0" borderId="0" xfId="136" applyFont="1" applyAlignment="1">
      <alignment/>
      <protection/>
    </xf>
    <xf numFmtId="0" fontId="7" fillId="0" borderId="0" xfId="136" applyFont="1" applyAlignment="1">
      <alignment/>
      <protection/>
    </xf>
    <xf numFmtId="49" fontId="36"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4"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5"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7"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39"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8"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6"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6" applyNumberFormat="1" applyFont="1" applyAlignment="1">
      <alignment wrapText="1"/>
      <protection/>
    </xf>
    <xf numFmtId="49" fontId="42" fillId="0" borderId="0" xfId="136" applyNumberFormat="1" applyFont="1">
      <alignment/>
      <protection/>
    </xf>
    <xf numFmtId="49" fontId="42" fillId="0" borderId="0" xfId="136" applyNumberFormat="1" applyFont="1" applyAlignment="1">
      <alignment wrapText="1"/>
      <protection/>
    </xf>
    <xf numFmtId="49" fontId="7" fillId="47" borderId="0" xfId="136" applyNumberFormat="1" applyFont="1" applyFill="1" applyAlignment="1">
      <alignment/>
      <protection/>
    </xf>
    <xf numFmtId="49" fontId="77" fillId="0" borderId="0" xfId="136" applyNumberFormat="1" applyFont="1">
      <alignment/>
      <protection/>
    </xf>
    <xf numFmtId="49" fontId="18" fillId="0" borderId="0" xfId="136"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4"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4" fillId="0" borderId="0" xfId="140" applyNumberFormat="1" applyFont="1" applyAlignment="1">
      <alignment horizontal="center"/>
      <protection/>
    </xf>
    <xf numFmtId="49" fontId="18" fillId="0" borderId="0" xfId="140" applyNumberFormat="1" applyFont="1" applyBorder="1" applyAlignment="1">
      <alignment wrapText="1"/>
      <protection/>
    </xf>
    <xf numFmtId="49" fontId="86"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4"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6"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4"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2"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6" fillId="0" borderId="0" xfId="140" applyNumberFormat="1" applyFont="1">
      <alignment/>
      <protection/>
    </xf>
    <xf numFmtId="49" fontId="36"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0"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3"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6"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7" fillId="0" borderId="0" xfId="140" applyNumberFormat="1" applyFont="1" applyAlignment="1">
      <alignment horizontal="left"/>
      <protection/>
    </xf>
    <xf numFmtId="49" fontId="36"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6"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7" fillId="0" borderId="19" xfId="140" applyNumberFormat="1" applyFont="1" applyFill="1" applyBorder="1" applyAlignment="1">
      <alignment vertical="center"/>
      <protection/>
    </xf>
    <xf numFmtId="49" fontId="36"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8" fillId="0" borderId="0" xfId="140" applyNumberFormat="1" applyFont="1">
      <alignment/>
      <protection/>
    </xf>
    <xf numFmtId="49" fontId="99" fillId="0" borderId="0" xfId="140" applyNumberFormat="1" applyFont="1">
      <alignment/>
      <protection/>
    </xf>
    <xf numFmtId="49" fontId="100" fillId="0" borderId="0" xfId="140" applyNumberFormat="1" applyFont="1" applyAlignment="1">
      <alignment horizontal="center"/>
      <protection/>
    </xf>
    <xf numFmtId="49" fontId="30" fillId="47" borderId="0" xfId="136" applyNumberFormat="1" applyFont="1" applyFill="1" applyAlignment="1">
      <alignment/>
      <protection/>
    </xf>
    <xf numFmtId="49" fontId="85" fillId="0" borderId="0" xfId="140" applyNumberFormat="1" applyFont="1">
      <alignment/>
      <protection/>
    </xf>
    <xf numFmtId="49" fontId="36" fillId="0" borderId="0" xfId="140" applyNumberFormat="1" applyFont="1" applyBorder="1" applyAlignment="1">
      <alignment wrapText="1"/>
      <protection/>
    </xf>
    <xf numFmtId="49" fontId="88" fillId="0" borderId="0" xfId="140" applyNumberFormat="1" applyFont="1">
      <alignment/>
      <protection/>
    </xf>
    <xf numFmtId="49" fontId="83"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1"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7" fillId="0" borderId="0" xfId="140" applyNumberFormat="1" applyFont="1" applyFill="1">
      <alignment/>
      <protection/>
    </xf>
    <xf numFmtId="49" fontId="87"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7" fillId="0" borderId="0" xfId="140" applyFont="1" applyAlignment="1">
      <alignment horizontal="center"/>
      <protection/>
    </xf>
    <xf numFmtId="49" fontId="57" fillId="0" borderId="0" xfId="140" applyNumberFormat="1" applyFont="1">
      <alignment/>
      <protection/>
    </xf>
    <xf numFmtId="49" fontId="102" fillId="0" borderId="0" xfId="140" applyNumberFormat="1" applyFont="1" applyBorder="1" applyAlignment="1">
      <alignment wrapText="1"/>
      <protection/>
    </xf>
    <xf numFmtId="0" fontId="36"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7"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1" applyNumberFormat="1" applyFont="1" applyFill="1" applyBorder="1" applyAlignment="1">
      <alignment horizontal="center" vertical="center"/>
      <protection/>
    </xf>
    <xf numFmtId="3" fontId="62" fillId="47" borderId="20" xfId="135"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35" applyNumberFormat="1" applyFont="1" applyFill="1" applyBorder="1" applyAlignment="1" applyProtection="1">
      <alignment horizontal="center" vertical="center"/>
      <protection/>
    </xf>
    <xf numFmtId="10" fontId="62"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1" fontId="11" fillId="0" borderId="20" xfId="0" applyNumberFormat="1" applyFont="1" applyFill="1" applyBorder="1" applyAlignment="1">
      <alignment horizontal="left"/>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3" fontId="8" fillId="0" borderId="20" xfId="135"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6" fillId="0" borderId="0" xfId="0" applyNumberFormat="1" applyFont="1" applyFill="1" applyBorder="1" applyAlignment="1">
      <alignment/>
    </xf>
    <xf numFmtId="49" fontId="107"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12" fillId="0" borderId="39" xfId="0"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6"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22" xfId="137" applyNumberFormat="1" applyFont="1" applyFill="1" applyBorder="1" applyAlignment="1">
      <alignment horizontal="left" vertical="center"/>
      <protection/>
    </xf>
    <xf numFmtId="49" fontId="0" fillId="0" borderId="0" xfId="137" applyNumberFormat="1" applyFont="1" applyFill="1" applyAlignment="1">
      <alignment vertical="center"/>
      <protection/>
    </xf>
    <xf numFmtId="49" fontId="12" fillId="0" borderId="20" xfId="137" applyNumberFormat="1" applyFont="1" applyFill="1" applyBorder="1" applyAlignment="1">
      <alignment horizontal="center" vertical="center"/>
      <protection/>
    </xf>
    <xf numFmtId="49" fontId="12" fillId="0" borderId="20" xfId="137" applyNumberFormat="1" applyFont="1" applyFill="1" applyBorder="1" applyAlignment="1">
      <alignment horizontal="left" vertical="center"/>
      <protection/>
    </xf>
    <xf numFmtId="49" fontId="12" fillId="0" borderId="23" xfId="137" applyNumberFormat="1" applyFont="1" applyFill="1" applyBorder="1" applyAlignment="1">
      <alignment horizontal="center" vertical="center"/>
      <protection/>
    </xf>
    <xf numFmtId="49" fontId="8" fillId="0" borderId="20" xfId="137" applyNumberFormat="1" applyFont="1" applyFill="1" applyBorder="1" applyAlignment="1">
      <alignment horizontal="center" vertical="center"/>
      <protection/>
    </xf>
    <xf numFmtId="49" fontId="1" fillId="0" borderId="0" xfId="137" applyNumberFormat="1" applyFont="1" applyFill="1">
      <alignment/>
      <protection/>
    </xf>
    <xf numFmtId="49" fontId="66"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6"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49" fontId="12" fillId="0" borderId="23" xfId="137" applyNumberFormat="1" applyFont="1" applyFill="1" applyBorder="1" applyAlignment="1">
      <alignment horizontal="center"/>
      <protection/>
    </xf>
    <xf numFmtId="49" fontId="8" fillId="0" borderId="23" xfId="137" applyNumberFormat="1" applyFont="1" applyFill="1" applyBorder="1" applyAlignment="1">
      <alignment horizontal="center"/>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20"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7"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7"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79" fillId="0" borderId="26" xfId="141" applyNumberFormat="1" applyFont="1" applyFill="1" applyBorder="1" applyAlignment="1">
      <alignment wrapText="1"/>
      <protection/>
    </xf>
    <xf numFmtId="49" fontId="79" fillId="0" borderId="25" xfId="141" applyNumberFormat="1" applyFont="1" applyFill="1" applyBorder="1" applyAlignment="1">
      <alignment wrapText="1"/>
      <protection/>
    </xf>
    <xf numFmtId="49" fontId="109"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3" fontId="17" fillId="0" borderId="37" xfId="141" applyNumberFormat="1" applyFont="1" applyFill="1" applyBorder="1" applyAlignment="1">
      <alignment horizontal="center" vertical="center" wrapText="1"/>
      <protection/>
    </xf>
    <xf numFmtId="49" fontId="17" fillId="0" borderId="0" xfId="141" applyNumberFormat="1" applyFont="1" applyFill="1" applyBorder="1" applyAlignment="1">
      <alignment vertical="center" textRotation="90" wrapText="1"/>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12"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left" vertical="center"/>
      <protection/>
    </xf>
    <xf numFmtId="3" fontId="29" fillId="0" borderId="37" xfId="141" applyNumberFormat="1" applyFont="1" applyFill="1" applyBorder="1" applyAlignment="1">
      <alignment horizontal="center" vertical="center" wrapText="1"/>
      <protection/>
    </xf>
    <xf numFmtId="49" fontId="29" fillId="0" borderId="0" xfId="141" applyNumberFormat="1" applyFont="1" applyFill="1" applyBorder="1" applyAlignment="1">
      <alignment vertical="center" textRotation="90" wrapText="1"/>
      <protection/>
    </xf>
    <xf numFmtId="49" fontId="12" fillId="0" borderId="23" xfId="141" applyNumberFormat="1" applyFont="1" applyFill="1" applyBorder="1" applyAlignment="1">
      <alignment horizontal="center" vertical="center"/>
      <protection/>
    </xf>
    <xf numFmtId="49" fontId="8" fillId="0" borderId="23" xfId="141" applyNumberFormat="1" applyFont="1" applyFill="1" applyBorder="1" applyAlignment="1">
      <alignment horizontal="center" vertical="center"/>
      <protection/>
    </xf>
    <xf numFmtId="49" fontId="1" fillId="0" borderId="0" xfId="141" applyNumberFormat="1" applyFont="1" applyFill="1">
      <alignment/>
      <protection/>
    </xf>
    <xf numFmtId="49" fontId="34" fillId="0" borderId="0" xfId="141" applyNumberFormat="1" applyFont="1" applyFill="1" applyBorder="1" applyAlignment="1">
      <alignment/>
      <protection/>
    </xf>
    <xf numFmtId="49" fontId="84" fillId="0" borderId="0" xfId="141" applyNumberFormat="1" applyFont="1" applyFill="1">
      <alignment/>
      <protection/>
    </xf>
    <xf numFmtId="49" fontId="30" fillId="0" borderId="0" xfId="141" applyNumberFormat="1" applyFont="1" applyFill="1" applyBorder="1" applyAlignment="1">
      <alignment/>
      <protection/>
    </xf>
    <xf numFmtId="49" fontId="10" fillId="0" borderId="0" xfId="141" applyNumberFormat="1" applyFont="1" applyFill="1">
      <alignment/>
      <protection/>
    </xf>
    <xf numFmtId="49" fontId="34" fillId="0" borderId="0" xfId="141" applyNumberFormat="1" applyFont="1" applyFill="1" applyAlignment="1">
      <alignment horizontal="center"/>
      <protection/>
    </xf>
    <xf numFmtId="49" fontId="34" fillId="0" borderId="0" xfId="141" applyNumberFormat="1" applyFont="1" applyFill="1">
      <alignment/>
      <protection/>
    </xf>
    <xf numFmtId="0" fontId="30" fillId="0" borderId="0" xfId="141" applyFont="1" applyFill="1" applyBorder="1" applyAlignment="1">
      <alignment horizontal="center"/>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6"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6"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3" fontId="0" fillId="0" borderId="0" xfId="141" applyNumberFormat="1" applyFont="1" applyFill="1" applyBorder="1" applyAlignment="1">
      <alignment/>
      <protection/>
    </xf>
    <xf numFmtId="0" fontId="32" fillId="0" borderId="0" xfId="141" applyFont="1" applyFill="1">
      <alignment/>
      <protection/>
    </xf>
    <xf numFmtId="0" fontId="0" fillId="0" borderId="0" xfId="141" applyFont="1" applyFill="1" applyAlignment="1">
      <alignment horizontal="left"/>
      <protection/>
    </xf>
    <xf numFmtId="0" fontId="0" fillId="0" borderId="0" xfId="141" applyFont="1" applyFill="1" applyBorder="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0"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79" fillId="0" borderId="26" xfId="141" applyFont="1" applyFill="1" applyBorder="1" applyAlignment="1">
      <alignment wrapText="1"/>
      <protection/>
    </xf>
    <xf numFmtId="0" fontId="79" fillId="0" borderId="25" xfId="141" applyFont="1" applyFill="1" applyBorder="1" applyAlignment="1">
      <alignment wrapText="1"/>
      <protection/>
    </xf>
    <xf numFmtId="3" fontId="109"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09" fillId="0" borderId="37" xfId="141" applyFont="1" applyFill="1" applyBorder="1" applyAlignment="1">
      <alignment horizontal="center" wrapText="1"/>
      <protection/>
    </xf>
    <xf numFmtId="0" fontId="32" fillId="0" borderId="0" xfId="141" applyFont="1" applyFill="1" applyBorder="1">
      <alignment/>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9" fontId="32" fillId="0" borderId="0" xfId="151" applyFont="1" applyFill="1" applyAlignment="1">
      <alignment vertical="center"/>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0" fontId="36" fillId="0" borderId="0" xfId="141" applyNumberFormat="1" applyFont="1" applyFill="1" applyBorder="1" applyAlignment="1">
      <alignment/>
      <protection/>
    </xf>
    <xf numFmtId="0" fontId="88"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4"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7"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49" fontId="8" fillId="0" borderId="0" xfId="141" applyNumberFormat="1" applyFont="1" applyFill="1" applyBorder="1" applyAlignment="1">
      <alignment horizontal="left"/>
      <protection/>
    </xf>
    <xf numFmtId="49" fontId="0" fillId="0" borderId="22" xfId="141" applyNumberFormat="1" applyFont="1" applyFill="1" applyBorder="1" applyAlignment="1">
      <alignment/>
      <protection/>
    </xf>
    <xf numFmtId="49" fontId="11" fillId="0" borderId="20" xfId="141" applyNumberFormat="1" applyFont="1" applyFill="1" applyBorder="1" applyAlignment="1">
      <alignment horizontal="center" vertical="center" wrapText="1"/>
      <protection/>
    </xf>
    <xf numFmtId="49" fontId="10" fillId="0" borderId="24" xfId="141" applyNumberFormat="1" applyFont="1" applyFill="1" applyBorder="1">
      <alignment/>
      <protection/>
    </xf>
    <xf numFmtId="49" fontId="29" fillId="0" borderId="0" xfId="141" applyNumberFormat="1" applyFont="1" applyFill="1">
      <alignment/>
      <protection/>
    </xf>
    <xf numFmtId="49" fontId="11" fillId="0" borderId="25" xfId="141" applyNumberFormat="1" applyFont="1" applyFill="1" applyBorder="1" applyAlignment="1">
      <alignment horizontal="center" vertical="center" wrapText="1"/>
      <protection/>
    </xf>
    <xf numFmtId="49" fontId="24" fillId="0" borderId="20" xfId="141" applyNumberFormat="1" applyFont="1" applyFill="1" applyBorder="1" applyAlignment="1">
      <alignment horizontal="center" vertical="center"/>
      <protection/>
    </xf>
    <xf numFmtId="49" fontId="10" fillId="0" borderId="0" xfId="141" applyNumberFormat="1" applyFont="1" applyFill="1" applyAlignment="1">
      <alignment vertical="center"/>
      <protection/>
    </xf>
    <xf numFmtId="3" fontId="10" fillId="0" borderId="20" xfId="141" applyNumberFormat="1" applyFont="1" applyFill="1" applyBorder="1" applyAlignment="1">
      <alignment horizontal="center" vertical="center"/>
      <protection/>
    </xf>
    <xf numFmtId="49" fontId="92" fillId="0" borderId="0" xfId="141" applyNumberFormat="1" applyFont="1" applyFill="1">
      <alignment/>
      <protection/>
    </xf>
    <xf numFmtId="49" fontId="34" fillId="0" borderId="0" xfId="141" applyNumberFormat="1" applyFont="1" applyFill="1" applyBorder="1" applyAlignment="1">
      <alignment wrapText="1"/>
      <protection/>
    </xf>
    <xf numFmtId="49" fontId="26" fillId="0" borderId="0" xfId="141" applyNumberFormat="1" applyFont="1" applyFill="1">
      <alignment/>
      <protection/>
    </xf>
    <xf numFmtId="49" fontId="36" fillId="0" borderId="0" xfId="141" applyNumberFormat="1" applyFont="1" applyFill="1">
      <alignment/>
      <protection/>
    </xf>
    <xf numFmtId="0" fontId="8" fillId="0" borderId="0" xfId="141" applyNumberFormat="1" applyFont="1" applyFill="1" applyAlignment="1">
      <alignment horizontal="left"/>
      <protection/>
    </xf>
    <xf numFmtId="0" fontId="10" fillId="0" borderId="0" xfId="141" applyFont="1" applyFill="1" applyAlignment="1">
      <alignment/>
      <protection/>
    </xf>
    <xf numFmtId="0" fontId="12" fillId="0" borderId="0" xfId="141" applyFont="1" applyFill="1" applyBorder="1" applyAlignment="1">
      <alignment/>
      <protection/>
    </xf>
    <xf numFmtId="0" fontId="32" fillId="0" borderId="24" xfId="141" applyFont="1" applyFill="1" applyBorder="1">
      <alignment/>
      <protection/>
    </xf>
    <xf numFmtId="3" fontId="0" fillId="0" borderId="20" xfId="141" applyNumberFormat="1" applyFont="1" applyFill="1" applyBorder="1" applyAlignment="1">
      <alignment horizontal="center" vertical="center"/>
      <protection/>
    </xf>
    <xf numFmtId="0" fontId="34" fillId="0" borderId="0" xfId="141" applyNumberFormat="1" applyFont="1" applyFill="1" applyBorder="1" applyAlignment="1">
      <alignment/>
      <protection/>
    </xf>
    <xf numFmtId="0" fontId="21" fillId="0" borderId="0" xfId="141" applyFont="1" applyFill="1">
      <alignment/>
      <protection/>
    </xf>
    <xf numFmtId="0" fontId="33" fillId="0" borderId="0" xfId="141" applyFont="1" applyFill="1">
      <alignment/>
      <protection/>
    </xf>
    <xf numFmtId="0" fontId="18" fillId="0" borderId="0" xfId="141" applyFont="1" applyFill="1">
      <alignment/>
      <protection/>
    </xf>
    <xf numFmtId="49" fontId="18" fillId="0" borderId="0" xfId="141" applyNumberFormat="1" applyFont="1" applyFill="1">
      <alignment/>
      <protection/>
    </xf>
    <xf numFmtId="0" fontId="86" fillId="0" borderId="0" xfId="141" applyFont="1" applyFill="1">
      <alignment/>
      <protection/>
    </xf>
    <xf numFmtId="49" fontId="32" fillId="0" borderId="0" xfId="141" applyNumberFormat="1" applyFont="1" applyFill="1">
      <alignment/>
      <protection/>
    </xf>
    <xf numFmtId="49" fontId="32" fillId="0" borderId="0" xfId="141" applyNumberFormat="1" applyFont="1" applyFill="1" applyAlignment="1">
      <alignment horizontal="center"/>
      <protection/>
    </xf>
    <xf numFmtId="3" fontId="24" fillId="0" borderId="22" xfId="141" applyNumberFormat="1" applyFont="1" applyFill="1" applyBorder="1" applyAlignment="1">
      <alignment horizontal="center"/>
      <protection/>
    </xf>
    <xf numFmtId="49" fontId="10" fillId="0" borderId="22" xfId="141" applyNumberFormat="1" applyFont="1" applyFill="1" applyBorder="1" applyAlignment="1">
      <alignment/>
      <protection/>
    </xf>
    <xf numFmtId="49" fontId="32" fillId="0" borderId="0" xfId="141" applyNumberFormat="1" applyFont="1" applyFill="1" applyAlignment="1">
      <alignment vertical="center"/>
      <protection/>
    </xf>
    <xf numFmtId="0" fontId="10" fillId="0" borderId="20" xfId="141" applyFont="1" applyFill="1" applyBorder="1" applyAlignment="1">
      <alignment horizontal="center" vertical="center"/>
      <protection/>
    </xf>
    <xf numFmtId="49" fontId="84" fillId="0" borderId="0" xfId="141" applyNumberFormat="1" applyFont="1" applyFill="1">
      <alignment/>
      <protection/>
    </xf>
    <xf numFmtId="9" fontId="32" fillId="0" borderId="0" xfId="150" applyFont="1" applyFill="1" applyAlignment="1">
      <alignment/>
    </xf>
    <xf numFmtId="49" fontId="84" fillId="0" borderId="0" xfId="141" applyNumberFormat="1" applyFont="1" applyFill="1" applyAlignment="1">
      <alignment horizontal="center"/>
      <protection/>
    </xf>
    <xf numFmtId="49" fontId="7" fillId="0" borderId="0" xfId="141" applyNumberFormat="1" applyFont="1" applyFill="1" applyBorder="1" applyAlignment="1">
      <alignment/>
      <protection/>
    </xf>
    <xf numFmtId="49" fontId="11" fillId="0" borderId="22" xfId="141" applyNumberFormat="1" applyFont="1" applyFill="1" applyBorder="1" applyAlignment="1">
      <alignment/>
      <protection/>
    </xf>
    <xf numFmtId="49" fontId="34" fillId="0" borderId="0" xfId="141" applyNumberFormat="1" applyFont="1" applyFill="1" applyAlignment="1">
      <alignment/>
      <protection/>
    </xf>
    <xf numFmtId="49" fontId="30" fillId="0" borderId="0" xfId="137" applyNumberFormat="1" applyFont="1" applyFill="1" applyAlignment="1">
      <alignment/>
      <protection/>
    </xf>
    <xf numFmtId="49" fontId="101" fillId="0" borderId="0" xfId="141" applyNumberFormat="1" applyFont="1" applyFill="1">
      <alignment/>
      <protection/>
    </xf>
    <xf numFmtId="49" fontId="32" fillId="0" borderId="0" xfId="141" applyNumberFormat="1" applyFont="1" applyFill="1" applyAlignment="1">
      <alignment horizontal="center"/>
      <protection/>
    </xf>
    <xf numFmtId="49" fontId="11" fillId="0" borderId="0" xfId="141" applyNumberFormat="1" applyFont="1" applyFill="1" applyBorder="1" applyAlignment="1">
      <alignment/>
      <protection/>
    </xf>
    <xf numFmtId="49" fontId="87" fillId="0" borderId="0" xfId="141" applyNumberFormat="1" applyFont="1" applyFill="1">
      <alignment/>
      <protection/>
    </xf>
    <xf numFmtId="49" fontId="24" fillId="0" borderId="27" xfId="141" applyNumberFormat="1" applyFont="1" applyFill="1" applyBorder="1" applyAlignment="1">
      <alignment horizontal="center" vertical="center"/>
      <protection/>
    </xf>
    <xf numFmtId="49" fontId="7" fillId="0" borderId="0" xfId="141" applyNumberFormat="1" applyFont="1" applyFill="1" applyAlignment="1">
      <alignment horizontal="center"/>
      <protection/>
    </xf>
    <xf numFmtId="49" fontId="7" fillId="0" borderId="0" xfId="141" applyNumberFormat="1" applyFont="1" applyFill="1">
      <alignment/>
      <protection/>
    </xf>
    <xf numFmtId="3" fontId="7" fillId="0" borderId="0" xfId="141" applyNumberFormat="1" applyFont="1" applyFill="1" applyBorder="1" applyAlignment="1">
      <alignment/>
      <protection/>
    </xf>
    <xf numFmtId="0" fontId="7" fillId="0" borderId="0" xfId="141" applyFont="1" applyFill="1">
      <alignment/>
      <protection/>
    </xf>
    <xf numFmtId="0" fontId="8" fillId="0" borderId="0" xfId="141" applyFont="1" applyFill="1" applyBorder="1" applyAlignment="1">
      <alignment horizontal="left"/>
      <protection/>
    </xf>
    <xf numFmtId="3" fontId="0" fillId="0" borderId="0" xfId="141" applyNumberFormat="1" applyFont="1" applyFill="1" applyAlignment="1">
      <alignment horizontal="left"/>
      <protection/>
    </xf>
    <xf numFmtId="0" fontId="18" fillId="0" borderId="0" xfId="141" applyFont="1" applyFill="1" applyBorder="1" applyAlignment="1">
      <alignment/>
      <protection/>
    </xf>
    <xf numFmtId="0" fontId="12" fillId="0" borderId="20" xfId="141" applyFont="1" applyFill="1" applyBorder="1" applyAlignment="1">
      <alignment horizontal="center" vertical="center" wrapText="1"/>
      <protection/>
    </xf>
    <xf numFmtId="3" fontId="23" fillId="0" borderId="20" xfId="141" applyNumberFormat="1" applyFont="1" applyFill="1" applyBorder="1" applyAlignment="1">
      <alignment horizontal="center" vertical="center"/>
      <protection/>
    </xf>
    <xf numFmtId="0" fontId="0" fillId="0" borderId="0" xfId="141" applyFont="1" applyFill="1" applyAlignment="1">
      <alignment horizontal="center" vertical="center"/>
      <protection/>
    </xf>
    <xf numFmtId="3" fontId="12" fillId="0" borderId="20"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0" fontId="7" fillId="0" borderId="0" xfId="141" applyFont="1" applyFill="1" applyAlignment="1">
      <alignment vertical="center"/>
      <protection/>
    </xf>
    <xf numFmtId="0" fontId="7" fillId="0" borderId="0" xfId="141" applyFont="1" applyFill="1" applyAlignment="1">
      <alignment horizontal="center"/>
      <protection/>
    </xf>
    <xf numFmtId="0" fontId="30" fillId="0" borderId="0" xfId="141" applyFont="1" applyFill="1">
      <alignment/>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3" fontId="112" fillId="0" borderId="20"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3" fontId="0" fillId="0" borderId="20" xfId="141" applyNumberFormat="1" applyFont="1" applyFill="1" applyBorder="1" applyAlignment="1">
      <alignment horizontal="center" vertical="center"/>
      <protection/>
    </xf>
    <xf numFmtId="0" fontId="10" fillId="0" borderId="0" xfId="141"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4"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7"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4" fillId="0" borderId="0" xfId="141" applyNumberFormat="1" applyFont="1" applyFill="1">
      <alignment/>
      <protection/>
    </xf>
    <xf numFmtId="0" fontId="34" fillId="0" borderId="0" xfId="141" applyNumberFormat="1" applyFont="1" applyFill="1" applyAlignment="1">
      <alignment horizontal="center"/>
      <protection/>
    </xf>
    <xf numFmtId="0" fontId="34" fillId="0" borderId="0" xfId="141" applyNumberFormat="1" applyFont="1" applyFill="1">
      <alignment/>
      <protection/>
    </xf>
    <xf numFmtId="0" fontId="19" fillId="0" borderId="0" xfId="137" applyNumberFormat="1" applyFont="1" applyFill="1" applyAlignment="1">
      <alignment/>
      <protection/>
    </xf>
    <xf numFmtId="0" fontId="110" fillId="0" borderId="0" xfId="141" applyNumberFormat="1" applyFont="1" applyFill="1">
      <alignment/>
      <protection/>
    </xf>
    <xf numFmtId="0" fontId="0" fillId="0" borderId="0" xfId="141" applyFont="1" applyFill="1" applyBorder="1" applyAlignment="1">
      <alignment horizontal="left"/>
      <protection/>
    </xf>
    <xf numFmtId="3" fontId="17" fillId="0" borderId="20" xfId="141" applyNumberFormat="1" applyFont="1" applyFill="1" applyBorder="1" applyAlignment="1">
      <alignment horizontal="center" vertical="center" wrapText="1"/>
      <protection/>
    </xf>
    <xf numFmtId="3" fontId="29" fillId="0" borderId="20"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left"/>
      <protection/>
    </xf>
    <xf numFmtId="0" fontId="36" fillId="0" borderId="0" xfId="141" applyNumberFormat="1" applyFont="1" applyFill="1">
      <alignment/>
      <protection/>
    </xf>
    <xf numFmtId="0" fontId="36" fillId="0" borderId="0" xfId="141" applyNumberFormat="1" applyFont="1" applyFill="1" applyAlignment="1">
      <alignment horizontal="center"/>
      <protection/>
    </xf>
    <xf numFmtId="0" fontId="93" fillId="0" borderId="0" xfId="141" applyNumberFormat="1" applyFont="1" applyFill="1">
      <alignment/>
      <protection/>
    </xf>
    <xf numFmtId="0" fontId="30" fillId="0" borderId="0" xfId="137" applyNumberFormat="1" applyFont="1" applyFill="1" applyAlignment="1">
      <alignment/>
      <protection/>
    </xf>
    <xf numFmtId="49" fontId="23" fillId="0" borderId="0" xfId="141" applyNumberFormat="1" applyFont="1" applyFill="1" applyAlignment="1">
      <alignment wrapText="1"/>
      <protection/>
    </xf>
    <xf numFmtId="0" fontId="84" fillId="0" borderId="0" xfId="141" applyNumberFormat="1" applyFont="1" applyFill="1">
      <alignment/>
      <protection/>
    </xf>
    <xf numFmtId="0" fontId="84" fillId="0" borderId="0" xfId="141" applyNumberFormat="1" applyFont="1" applyFill="1" applyAlignment="1">
      <alignment horizontal="center"/>
      <protection/>
    </xf>
    <xf numFmtId="0" fontId="77" fillId="0" borderId="0" xfId="141" applyNumberFormat="1" applyFont="1" applyFill="1" applyAlignment="1">
      <alignment horizontal="left"/>
      <protection/>
    </xf>
    <xf numFmtId="0" fontId="36" fillId="0" borderId="0" xfId="141" applyNumberFormat="1" applyFont="1" applyFill="1" applyAlignment="1">
      <alignment/>
      <protection/>
    </xf>
    <xf numFmtId="49" fontId="0"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23" fillId="0" borderId="0" xfId="141" applyNumberFormat="1" applyFont="1" applyFill="1" applyAlignment="1">
      <alignment horizontal="left" wrapText="1"/>
      <protection/>
    </xf>
    <xf numFmtId="49" fontId="0" fillId="0" borderId="0" xfId="141" applyNumberFormat="1" applyFont="1" applyFill="1" applyBorder="1" applyAlignment="1">
      <alignment/>
      <protection/>
    </xf>
    <xf numFmtId="0" fontId="30" fillId="0" borderId="0" xfId="141" applyNumberFormat="1" applyFont="1" applyFill="1">
      <alignment/>
      <protection/>
    </xf>
    <xf numFmtId="0" fontId="7" fillId="0" borderId="0" xfId="141" applyNumberFormat="1" applyFont="1" applyFill="1">
      <alignment/>
      <protection/>
    </xf>
    <xf numFmtId="0" fontId="34" fillId="0" borderId="0" xfId="141" applyNumberFormat="1" applyFont="1" applyFill="1" applyBorder="1" applyAlignment="1">
      <alignment wrapText="1"/>
      <protection/>
    </xf>
    <xf numFmtId="0" fontId="77" fillId="0" borderId="0" xfId="141" applyNumberFormat="1" applyFont="1" applyFill="1" applyAlignment="1">
      <alignment horizontal="center"/>
      <protection/>
    </xf>
    <xf numFmtId="0" fontId="36" fillId="0" borderId="0" xfId="141"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3" fillId="0" borderId="0" xfId="141" applyNumberFormat="1" applyFont="1" applyFill="1" applyBorder="1" applyAlignment="1">
      <alignment horizontal="center" vertical="center"/>
      <protection/>
    </xf>
    <xf numFmtId="0" fontId="112"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0" fontId="24" fillId="0" borderId="22" xfId="141" applyNumberFormat="1" applyFont="1" applyFill="1" applyBorder="1" applyAlignment="1">
      <alignment horizontal="center"/>
      <protection/>
    </xf>
    <xf numFmtId="3" fontId="24" fillId="0" borderId="0" xfId="141" applyNumberFormat="1" applyFont="1" applyFill="1" applyBorder="1" applyAlignment="1">
      <alignment horizontal="center"/>
      <protection/>
    </xf>
    <xf numFmtId="49" fontId="10" fillId="0" borderId="0" xfId="141" applyNumberFormat="1" applyFont="1" applyFill="1" applyBorder="1" applyAlignment="1">
      <alignment/>
      <protection/>
    </xf>
    <xf numFmtId="0" fontId="24" fillId="0" borderId="0" xfId="141" applyNumberFormat="1" applyFont="1" applyFill="1" applyBorder="1" applyAlignment="1">
      <alignment horizontal="center"/>
      <protection/>
    </xf>
    <xf numFmtId="49" fontId="32" fillId="0" borderId="0" xfId="141" applyNumberFormat="1" applyFont="1" applyFill="1" applyBorder="1" applyAlignment="1">
      <alignment horizontal="center"/>
      <protection/>
    </xf>
    <xf numFmtId="49" fontId="32" fillId="0" borderId="0" xfId="141" applyNumberFormat="1" applyFont="1" applyFill="1" applyBorder="1">
      <alignment/>
      <protection/>
    </xf>
    <xf numFmtId="3" fontId="39" fillId="49" borderId="20" xfId="0" applyNumberFormat="1" applyFont="1" applyFill="1" applyBorder="1" applyAlignment="1" applyProtection="1">
      <alignment horizontal="right"/>
      <protection locked="0"/>
    </xf>
    <xf numFmtId="3" fontId="39" fillId="49"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protection locked="0"/>
    </xf>
    <xf numFmtId="2" fontId="115" fillId="0" borderId="0" xfId="0" applyNumberFormat="1" applyFont="1" applyFill="1" applyAlignment="1">
      <alignment/>
    </xf>
    <xf numFmtId="3" fontId="114" fillId="0" borderId="20" xfId="0" applyNumberFormat="1" applyFont="1" applyFill="1" applyBorder="1" applyAlignment="1" applyProtection="1">
      <alignment/>
      <protection locked="0"/>
    </xf>
    <xf numFmtId="3" fontId="12"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horizontal="right"/>
      <protection locked="0"/>
    </xf>
    <xf numFmtId="3" fontId="114" fillId="47"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3" fontId="8" fillId="47" borderId="23" xfId="0" applyNumberFormat="1" applyFont="1" applyFill="1" applyBorder="1" applyAlignment="1" applyProtection="1">
      <alignment/>
      <protection locked="0"/>
    </xf>
    <xf numFmtId="3" fontId="8" fillId="47" borderId="20" xfId="0" applyNumberFormat="1" applyFont="1" applyFill="1" applyBorder="1" applyAlignment="1" applyProtection="1">
      <alignment/>
      <protection locked="0"/>
    </xf>
    <xf numFmtId="3" fontId="0" fillId="47" borderId="20" xfId="0" applyNumberFormat="1" applyFont="1" applyFill="1" applyBorder="1" applyAlignment="1" applyProtection="1">
      <alignment/>
      <protection locked="0"/>
    </xf>
    <xf numFmtId="3" fontId="114" fillId="47" borderId="21" xfId="0" applyNumberFormat="1" applyFont="1" applyFill="1" applyBorder="1" applyAlignment="1" applyProtection="1">
      <alignment/>
      <protection locked="0"/>
    </xf>
    <xf numFmtId="3" fontId="116" fillId="47" borderId="20" xfId="0" applyNumberFormat="1" applyFont="1" applyFill="1" applyBorder="1" applyAlignment="1" applyProtection="1">
      <alignment/>
      <protection locked="0"/>
    </xf>
    <xf numFmtId="3" fontId="8" fillId="47" borderId="21" xfId="0" applyNumberFormat="1" applyFont="1" applyFill="1" applyBorder="1" applyAlignment="1" applyProtection="1">
      <alignment/>
      <protection locked="0"/>
    </xf>
    <xf numFmtId="3" fontId="12" fillId="49" borderId="20" xfId="0" applyNumberFormat="1" applyFont="1" applyFill="1" applyBorder="1" applyAlignment="1" applyProtection="1">
      <alignment horizontal="right"/>
      <protection locked="0"/>
    </xf>
    <xf numFmtId="3" fontId="10" fillId="47" borderId="21" xfId="0" applyNumberFormat="1" applyFont="1" applyFill="1" applyBorder="1" applyAlignment="1" applyProtection="1">
      <alignment/>
      <protection/>
    </xf>
    <xf numFmtId="3" fontId="10" fillId="47" borderId="20" xfId="0" applyNumberFormat="1" applyFont="1" applyFill="1" applyBorder="1" applyAlignment="1" applyProtection="1">
      <alignment/>
      <protection locked="0"/>
    </xf>
    <xf numFmtId="3" fontId="10" fillId="47" borderId="20" xfId="0" applyNumberFormat="1" applyFont="1" applyFill="1" applyBorder="1" applyAlignment="1" applyProtection="1">
      <alignment/>
      <protection/>
    </xf>
    <xf numFmtId="3" fontId="10" fillId="47" borderId="23" xfId="0" applyNumberFormat="1" applyFont="1" applyFill="1" applyBorder="1" applyAlignment="1" applyProtection="1">
      <alignment/>
      <protection locked="0"/>
    </xf>
    <xf numFmtId="0" fontId="10" fillId="47" borderId="20"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47" borderId="26" xfId="0" applyFont="1" applyFill="1" applyBorder="1" applyAlignment="1" applyProtection="1">
      <alignment vertical="center"/>
      <protection locked="0"/>
    </xf>
    <xf numFmtId="9" fontId="119" fillId="44" borderId="20" xfId="93" applyNumberFormat="1" applyFont="1" applyFill="1" applyBorder="1" applyAlignment="1" applyProtection="1">
      <alignment horizontal="right" vertical="center" wrapText="1"/>
      <protection/>
    </xf>
    <xf numFmtId="202" fontId="11" fillId="48" borderId="26" xfId="93" applyNumberFormat="1" applyFont="1" applyFill="1" applyBorder="1" applyAlignment="1" applyProtection="1">
      <alignment horizontal="left" vertical="center" wrapText="1"/>
      <protection locked="0"/>
    </xf>
    <xf numFmtId="49" fontId="10" fillId="47" borderId="20" xfId="138" applyNumberFormat="1" applyFont="1" applyFill="1" applyBorder="1" applyAlignment="1" applyProtection="1">
      <alignment vertical="center"/>
      <protection locked="0"/>
    </xf>
    <xf numFmtId="49" fontId="8" fillId="0" borderId="20" xfId="0" applyNumberFormat="1" applyFont="1" applyFill="1" applyBorder="1" applyAlignment="1" applyProtection="1">
      <alignment vertical="center"/>
      <protection locked="0"/>
    </xf>
    <xf numFmtId="202" fontId="118" fillId="0" borderId="20" xfId="93" applyNumberFormat="1" applyFont="1" applyFill="1" applyBorder="1" applyAlignment="1" applyProtection="1">
      <alignment vertical="center"/>
      <protection/>
    </xf>
    <xf numFmtId="218" fontId="11" fillId="0" borderId="20" xfId="140" applyNumberFormat="1" applyFont="1" applyBorder="1" applyAlignment="1">
      <alignment horizontal="right"/>
      <protection/>
    </xf>
    <xf numFmtId="49" fontId="10" fillId="47" borderId="20" xfId="0" applyNumberFormat="1" applyFont="1" applyFill="1" applyBorder="1" applyAlignment="1">
      <alignment horizontal="left"/>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3" fontId="39" fillId="0" borderId="20" xfId="0" applyNumberFormat="1" applyFont="1" applyFill="1" applyBorder="1" applyAlignment="1" applyProtection="1">
      <alignment horizontal="right"/>
      <protection locked="0"/>
    </xf>
    <xf numFmtId="3" fontId="8" fillId="0" borderId="20" xfId="135"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vertical="center"/>
      <protection/>
    </xf>
    <xf numFmtId="3" fontId="12" fillId="47" borderId="20" xfId="0" applyNumberFormat="1" applyFont="1" applyFill="1" applyBorder="1" applyAlignment="1" applyProtection="1">
      <alignment/>
      <protection locked="0"/>
    </xf>
    <xf numFmtId="3" fontId="12" fillId="0" borderId="20" xfId="135" applyNumberFormat="1" applyFont="1" applyFill="1" applyBorder="1" applyAlignment="1" applyProtection="1">
      <alignment vertical="center"/>
      <protection/>
    </xf>
    <xf numFmtId="3" fontId="39" fillId="49" borderId="20" xfId="0" applyNumberFormat="1" applyFont="1" applyFill="1" applyBorder="1" applyAlignment="1" applyProtection="1">
      <alignment/>
      <protection locked="0"/>
    </xf>
    <xf numFmtId="3" fontId="39" fillId="49" borderId="21" xfId="0" applyNumberFormat="1" applyFont="1" applyFill="1" applyBorder="1" applyAlignment="1" applyProtection="1">
      <alignment/>
      <protection locked="0"/>
    </xf>
    <xf numFmtId="3" fontId="39" fillId="49" borderId="23" xfId="0" applyNumberFormat="1" applyFont="1" applyFill="1" applyBorder="1" applyAlignment="1" applyProtection="1">
      <alignment/>
      <protection locked="0"/>
    </xf>
    <xf numFmtId="3" fontId="12" fillId="47" borderId="21" xfId="0" applyNumberFormat="1" applyFont="1" applyFill="1" applyBorder="1" applyAlignment="1" applyProtection="1">
      <alignment/>
      <protection locked="0"/>
    </xf>
    <xf numFmtId="218" fontId="121" fillId="0" borderId="20" xfId="0" applyNumberFormat="1" applyFont="1" applyFill="1" applyBorder="1" applyAlignment="1">
      <alignment vertical="center"/>
    </xf>
    <xf numFmtId="218" fontId="14" fillId="0" borderId="20" xfId="93" applyNumberFormat="1" applyFont="1" applyBorder="1" applyAlignment="1">
      <alignment vertical="center"/>
    </xf>
    <xf numFmtId="218" fontId="11" fillId="0" borderId="20" xfId="140" applyNumberFormat="1" applyFont="1" applyFill="1" applyBorder="1" applyAlignment="1">
      <alignment horizontal="right"/>
      <protection/>
    </xf>
    <xf numFmtId="218" fontId="87" fillId="0" borderId="20" xfId="140" applyNumberFormat="1" applyFont="1" applyFill="1" applyBorder="1" applyAlignment="1">
      <alignment horizontal="right"/>
      <protection/>
    </xf>
    <xf numFmtId="218" fontId="122" fillId="0" borderId="20" xfId="140" applyNumberFormat="1" applyFont="1" applyFill="1" applyBorder="1" applyAlignment="1">
      <alignment horizontal="right"/>
      <protection/>
    </xf>
    <xf numFmtId="218" fontId="11" fillId="0" borderId="27" xfId="140" applyNumberFormat="1" applyFont="1" applyBorder="1" applyAlignment="1">
      <alignment horizontal="right"/>
      <protection/>
    </xf>
    <xf numFmtId="218" fontId="11" fillId="47" borderId="20" xfId="140" applyNumberFormat="1" applyFont="1" applyFill="1" applyBorder="1" applyAlignment="1">
      <alignment horizontal="right"/>
      <protection/>
    </xf>
    <xf numFmtId="218" fontId="87" fillId="0" borderId="20" xfId="140" applyNumberFormat="1" applyFont="1" applyFill="1" applyBorder="1" applyAlignment="1">
      <alignment/>
      <protection/>
    </xf>
    <xf numFmtId="218" fontId="122" fillId="0" borderId="20" xfId="140" applyNumberFormat="1" applyFont="1" applyFill="1" applyBorder="1" applyAlignment="1">
      <alignment/>
      <protection/>
    </xf>
    <xf numFmtId="3" fontId="32" fillId="0" borderId="20" xfId="141" applyNumberFormat="1" applyFont="1" applyFill="1" applyBorder="1" applyAlignment="1">
      <alignment vertical="center"/>
      <protection/>
    </xf>
    <xf numFmtId="218" fontId="123" fillId="0" borderId="20" xfId="140" applyNumberFormat="1" applyFont="1" applyFill="1" applyBorder="1" applyAlignment="1">
      <alignment/>
      <protection/>
    </xf>
    <xf numFmtId="0" fontId="30" fillId="0" borderId="0" xfId="137" applyNumberFormat="1" applyFont="1" applyFill="1" applyAlignment="1">
      <alignment horizontal="center"/>
      <protection/>
    </xf>
    <xf numFmtId="49" fontId="23" fillId="0" borderId="0" xfId="137" applyNumberFormat="1" applyFont="1" applyFill="1" applyBorder="1" applyAlignment="1">
      <alignment horizontal="left"/>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18" fillId="0" borderId="0" xfId="137" applyNumberFormat="1" applyFont="1" applyFill="1" applyBorder="1" applyAlignment="1">
      <alignment horizontal="center"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218" fontId="124" fillId="0" borderId="20" xfId="0" applyNumberFormat="1" applyFont="1" applyFill="1" applyBorder="1" applyAlignment="1">
      <alignment vertical="center"/>
    </xf>
    <xf numFmtId="218" fontId="125" fillId="0" borderId="20" xfId="0" applyNumberFormat="1" applyFont="1" applyFill="1" applyBorder="1" applyAlignment="1">
      <alignment vertical="center"/>
    </xf>
    <xf numFmtId="218" fontId="17" fillId="0" borderId="20" xfId="0" applyNumberFormat="1" applyFont="1" applyFill="1" applyBorder="1" applyAlignment="1">
      <alignment horizontal="right" vertical="center" wrapText="1"/>
    </xf>
    <xf numFmtId="218" fontId="29" fillId="0" borderId="20" xfId="0" applyNumberFormat="1" applyFont="1" applyFill="1" applyBorder="1" applyAlignment="1">
      <alignment horizontal="right"/>
    </xf>
    <xf numFmtId="218" fontId="29" fillId="0" borderId="20" xfId="0" applyNumberFormat="1" applyFont="1" applyFill="1" applyBorder="1" applyAlignment="1">
      <alignment horizontal="right" vertical="center" wrapText="1"/>
    </xf>
    <xf numFmtId="220" fontId="17" fillId="0" borderId="20" xfId="0" applyNumberFormat="1" applyFont="1" applyFill="1" applyBorder="1" applyAlignment="1">
      <alignment horizontal="right" vertical="center" wrapText="1"/>
    </xf>
    <xf numFmtId="49" fontId="8" fillId="0" borderId="21" xfId="137" applyNumberFormat="1" applyFont="1" applyFill="1" applyBorder="1" applyAlignment="1">
      <alignment horizontal="center" vertical="center" wrapText="1"/>
      <protection/>
    </xf>
    <xf numFmtId="49" fontId="126" fillId="0" borderId="20" xfId="137" applyNumberFormat="1" applyFont="1" applyFill="1" applyBorder="1" applyAlignment="1">
      <alignment horizontal="center" vertical="center" wrapText="1"/>
      <protection/>
    </xf>
    <xf numFmtId="218" fontId="17" fillId="0" borderId="20" xfId="0" applyNumberFormat="1" applyFont="1" applyBorder="1" applyAlignment="1">
      <alignment horizontal="right"/>
    </xf>
    <xf numFmtId="218" fontId="17" fillId="0" borderId="20" xfId="0" applyNumberFormat="1" applyFont="1" applyFill="1" applyBorder="1" applyAlignment="1">
      <alignment horizontal="right"/>
    </xf>
    <xf numFmtId="3" fontId="11" fillId="0" borderId="20" xfId="141" applyNumberFormat="1" applyFont="1" applyFill="1" applyBorder="1" applyAlignment="1">
      <alignment horizontal="right" vertical="center"/>
      <protection/>
    </xf>
    <xf numFmtId="49" fontId="8" fillId="0" borderId="0" xfId="0" applyNumberFormat="1" applyFont="1" applyFill="1" applyAlignment="1">
      <alignment horizontal="right"/>
    </xf>
    <xf numFmtId="49" fontId="8" fillId="0" borderId="39" xfId="0" applyNumberFormat="1" applyFont="1" applyFill="1" applyBorder="1" applyAlignment="1" applyProtection="1">
      <alignment horizontal="center" vertical="center"/>
      <protection/>
    </xf>
    <xf numFmtId="0" fontId="11" fillId="0" borderId="0" xfId="141" applyNumberFormat="1" applyFont="1" applyFill="1" applyBorder="1" applyAlignment="1">
      <alignment horizontal="left"/>
      <protection/>
    </xf>
    <xf numFmtId="0" fontId="10" fillId="0" borderId="0" xfId="141" applyNumberFormat="1" applyFont="1" applyFill="1" applyBorder="1" applyAlignment="1">
      <alignment horizontal="left"/>
      <protection/>
    </xf>
    <xf numFmtId="49" fontId="10" fillId="0" borderId="0" xfId="141" applyNumberFormat="1" applyFont="1" applyFill="1" applyBorder="1" applyAlignment="1">
      <alignment horizontal="left"/>
      <protection/>
    </xf>
    <xf numFmtId="0" fontId="11" fillId="0" borderId="0" xfId="141" applyNumberFormat="1" applyFont="1" applyFill="1" applyBorder="1" applyAlignment="1">
      <alignment/>
      <protection/>
    </xf>
    <xf numFmtId="0" fontId="31" fillId="0" borderId="0" xfId="141" applyFont="1" applyFill="1">
      <alignment/>
      <protection/>
    </xf>
    <xf numFmtId="3" fontId="1" fillId="0" borderId="20" xfId="141" applyNumberFormat="1" applyFont="1" applyFill="1" applyBorder="1" applyAlignment="1">
      <alignment horizontal="center" vertical="center"/>
      <protection/>
    </xf>
    <xf numFmtId="3" fontId="11" fillId="0" borderId="20" xfId="0" applyNumberFormat="1" applyFont="1" applyFill="1" applyBorder="1" applyAlignment="1" applyProtection="1">
      <alignment/>
      <protection/>
    </xf>
    <xf numFmtId="3" fontId="117" fillId="49" borderId="20" xfId="0" applyNumberFormat="1" applyFont="1" applyFill="1" applyBorder="1" applyAlignment="1" applyProtection="1">
      <alignment/>
      <protection locked="0"/>
    </xf>
    <xf numFmtId="3" fontId="117" fillId="49" borderId="20" xfId="0" applyNumberFormat="1" applyFont="1" applyFill="1" applyBorder="1" applyAlignment="1" applyProtection="1">
      <alignment/>
      <protection/>
    </xf>
    <xf numFmtId="3" fontId="117" fillId="49" borderId="23" xfId="0" applyNumberFormat="1" applyFont="1" applyFill="1" applyBorder="1" applyAlignment="1" applyProtection="1">
      <alignment/>
      <protection locked="0"/>
    </xf>
    <xf numFmtId="3" fontId="117" fillId="49" borderId="23" xfId="0" applyNumberFormat="1" applyFont="1" applyFill="1" applyBorder="1" applyAlignment="1" applyProtection="1">
      <alignment/>
      <protection/>
    </xf>
    <xf numFmtId="202" fontId="120" fillId="38" borderId="20" xfId="93" applyNumberFormat="1" applyFont="1" applyFill="1" applyBorder="1" applyAlignment="1" applyProtection="1">
      <alignment horizontal="right" vertical="center" wrapText="1"/>
      <protection/>
    </xf>
    <xf numFmtId="9" fontId="119" fillId="38" borderId="20" xfId="93" applyNumberFormat="1" applyFont="1" applyFill="1" applyBorder="1" applyAlignment="1" applyProtection="1">
      <alignment horizontal="right" vertical="center" wrapText="1"/>
      <protection/>
    </xf>
    <xf numFmtId="202" fontId="11" fillId="38" borderId="20" xfId="93" applyNumberFormat="1" applyFont="1" applyFill="1" applyBorder="1" applyAlignment="1" applyProtection="1">
      <alignment horizontal="right" vertical="center" wrapText="1"/>
      <protection/>
    </xf>
    <xf numFmtId="202" fontId="11" fillId="38" borderId="20" xfId="93" applyNumberFormat="1" applyFont="1" applyFill="1" applyBorder="1" applyAlignment="1" applyProtection="1">
      <alignment vertical="center" wrapText="1"/>
      <protection/>
    </xf>
    <xf numFmtId="218" fontId="127" fillId="0" borderId="20" xfId="0" applyNumberFormat="1" applyFont="1" applyFill="1" applyBorder="1" applyAlignment="1">
      <alignment horizontal="right"/>
    </xf>
    <xf numFmtId="218" fontId="127" fillId="0" borderId="20" xfId="0" applyNumberFormat="1" applyFont="1" applyFill="1" applyBorder="1" applyAlignment="1">
      <alignment horizontal="right" vertical="center" wrapText="1"/>
    </xf>
    <xf numFmtId="3" fontId="10" fillId="0" borderId="20" xfId="135" applyNumberFormat="1" applyFont="1" applyFill="1" applyBorder="1" applyAlignment="1" applyProtection="1">
      <alignment horizontal="right" vertical="center"/>
      <protection/>
    </xf>
    <xf numFmtId="3" fontId="128" fillId="0" borderId="20" xfId="0" applyNumberFormat="1" applyFont="1" applyFill="1" applyBorder="1" applyAlignment="1" applyProtection="1">
      <alignment/>
      <protection/>
    </xf>
    <xf numFmtId="3" fontId="129" fillId="47" borderId="20" xfId="0" applyNumberFormat="1" applyFont="1" applyFill="1" applyBorder="1" applyAlignment="1" applyProtection="1">
      <alignment/>
      <protection locked="0"/>
    </xf>
    <xf numFmtId="202" fontId="119" fillId="38" borderId="20" xfId="93" applyNumberFormat="1" applyFont="1" applyFill="1" applyBorder="1" applyAlignment="1" applyProtection="1">
      <alignment horizontal="right" vertical="center" wrapText="1"/>
      <protection/>
    </xf>
    <xf numFmtId="0" fontId="25" fillId="49" borderId="20" xfId="0" applyFont="1" applyFill="1" applyBorder="1" applyAlignment="1">
      <alignment/>
    </xf>
    <xf numFmtId="0" fontId="0" fillId="49" borderId="40" xfId="0" applyFill="1" applyBorder="1" applyAlignment="1">
      <alignment/>
    </xf>
    <xf numFmtId="2" fontId="65" fillId="0" borderId="0" xfId="0" applyNumberFormat="1" applyFont="1" applyFill="1" applyAlignment="1">
      <alignment/>
    </xf>
    <xf numFmtId="2" fontId="65" fillId="0" borderId="0" xfId="0" applyNumberFormat="1" applyFont="1" applyFill="1" applyAlignment="1">
      <alignment/>
    </xf>
    <xf numFmtId="3" fontId="0" fillId="47" borderId="20" xfId="0" applyNumberFormat="1" applyFont="1" applyFill="1" applyBorder="1" applyAlignment="1" applyProtection="1">
      <alignment/>
      <protection locked="0"/>
    </xf>
    <xf numFmtId="3" fontId="0" fillId="47" borderId="21" xfId="0" applyNumberFormat="1" applyFont="1" applyFill="1" applyBorder="1" applyAlignment="1" applyProtection="1">
      <alignment/>
      <protection locked="0"/>
    </xf>
    <xf numFmtId="3" fontId="0" fillId="47" borderId="23" xfId="0" applyNumberFormat="1" applyFont="1" applyFill="1" applyBorder="1" applyAlignment="1" applyProtection="1">
      <alignment/>
      <protection locked="0"/>
    </xf>
    <xf numFmtId="0" fontId="65" fillId="0" borderId="0" xfId="0" applyFont="1" applyFill="1" applyAlignment="1">
      <alignment/>
    </xf>
    <xf numFmtId="3" fontId="0" fillId="47" borderId="20" xfId="0" applyNumberFormat="1" applyFill="1" applyBorder="1" applyAlignment="1" applyProtection="1">
      <alignment/>
      <protection locked="0"/>
    </xf>
    <xf numFmtId="3" fontId="37" fillId="47" borderId="21" xfId="0" applyNumberFormat="1" applyFont="1" applyFill="1" applyBorder="1" applyAlignment="1" applyProtection="1">
      <alignment/>
      <protection locked="0"/>
    </xf>
    <xf numFmtId="3" fontId="25" fillId="47" borderId="21" xfId="0" applyNumberFormat="1" applyFont="1" applyFill="1" applyBorder="1" applyAlignment="1" applyProtection="1">
      <alignment/>
      <protection locked="0"/>
    </xf>
    <xf numFmtId="3" fontId="35" fillId="47" borderId="21" xfId="0" applyNumberFormat="1" applyFont="1" applyFill="1" applyBorder="1" applyAlignment="1" applyProtection="1">
      <alignment/>
      <protection/>
    </xf>
    <xf numFmtId="221" fontId="11" fillId="47" borderId="21" xfId="0" applyNumberFormat="1" applyFont="1" applyFill="1" applyBorder="1" applyAlignment="1" applyProtection="1">
      <alignment/>
      <protection locked="0"/>
    </xf>
    <xf numFmtId="221" fontId="11" fillId="47" borderId="20" xfId="0" applyNumberFormat="1" applyFont="1" applyFill="1" applyBorder="1" applyAlignment="1" applyProtection="1">
      <alignment/>
      <protection locked="0"/>
    </xf>
    <xf numFmtId="221" fontId="10" fillId="47" borderId="20" xfId="0" applyNumberFormat="1" applyFont="1" applyFill="1" applyBorder="1" applyAlignment="1" applyProtection="1">
      <alignment/>
      <protection locked="0"/>
    </xf>
    <xf numFmtId="221" fontId="11" fillId="47" borderId="23" xfId="0" applyNumberFormat="1" applyFont="1" applyFill="1" applyBorder="1" applyAlignment="1" applyProtection="1">
      <alignment/>
      <protection locked="0"/>
    </xf>
    <xf numFmtId="202" fontId="8" fillId="48" borderId="21" xfId="93" applyNumberFormat="1" applyFont="1" applyFill="1" applyBorder="1" applyAlignment="1">
      <alignment/>
    </xf>
    <xf numFmtId="202" fontId="8" fillId="0" borderId="20" xfId="93" applyNumberFormat="1" applyFont="1" applyBorder="1" applyAlignment="1">
      <alignment/>
    </xf>
    <xf numFmtId="202" fontId="0" fillId="0" borderId="20" xfId="93" applyNumberFormat="1" applyFont="1" applyBorder="1" applyAlignment="1">
      <alignment/>
    </xf>
    <xf numFmtId="202" fontId="25" fillId="0" borderId="20" xfId="93" applyNumberFormat="1" applyFont="1" applyBorder="1" applyAlignment="1">
      <alignment/>
    </xf>
    <xf numFmtId="202" fontId="8" fillId="0" borderId="23" xfId="93" applyNumberFormat="1" applyFont="1" applyBorder="1" applyAlignment="1">
      <alignment/>
    </xf>
    <xf numFmtId="202" fontId="40" fillId="0" borderId="20" xfId="93" applyNumberFormat="1" applyFont="1" applyBorder="1" applyAlignment="1">
      <alignment/>
    </xf>
    <xf numFmtId="202" fontId="0" fillId="48" borderId="21" xfId="93" applyNumberFormat="1" applyFont="1" applyFill="1" applyBorder="1" applyAlignment="1">
      <alignment/>
    </xf>
    <xf numFmtId="221" fontId="10" fillId="47" borderId="20" xfId="0" applyNumberFormat="1" applyFont="1" applyFill="1" applyBorder="1" applyAlignment="1" applyProtection="1">
      <alignment horizontal="center" vertical="center"/>
      <protection locked="0"/>
    </xf>
    <xf numFmtId="221" fontId="10" fillId="47" borderId="23" xfId="0" applyNumberFormat="1" applyFont="1" applyFill="1" applyBorder="1" applyAlignment="1" applyProtection="1">
      <alignment horizontal="center" vertical="center"/>
      <protection locked="0"/>
    </xf>
    <xf numFmtId="221" fontId="11" fillId="50" borderId="20" xfId="0" applyNumberFormat="1" applyFont="1" applyFill="1" applyBorder="1" applyAlignment="1" applyProtection="1">
      <alignment/>
      <protection locked="0"/>
    </xf>
    <xf numFmtId="221" fontId="10" fillId="50" borderId="20" xfId="0" applyNumberFormat="1" applyFont="1" applyFill="1" applyBorder="1" applyAlignment="1" applyProtection="1">
      <alignment/>
      <protection locked="0"/>
    </xf>
    <xf numFmtId="221" fontId="10" fillId="50" borderId="23" xfId="0" applyNumberFormat="1" applyFont="1" applyFill="1" applyBorder="1" applyAlignment="1" applyProtection="1">
      <alignment/>
      <protection locked="0"/>
    </xf>
    <xf numFmtId="221" fontId="10" fillId="51" borderId="20" xfId="0" applyNumberFormat="1" applyFont="1" applyFill="1" applyBorder="1" applyAlignment="1" applyProtection="1">
      <alignment/>
      <protection locked="0"/>
    </xf>
    <xf numFmtId="221" fontId="10" fillId="51" borderId="23" xfId="0" applyNumberFormat="1" applyFont="1" applyFill="1" applyBorder="1" applyAlignment="1" applyProtection="1">
      <alignment/>
      <protection locked="0"/>
    </xf>
    <xf numFmtId="202" fontId="11" fillId="38" borderId="20" xfId="93" applyNumberFormat="1" applyFont="1" applyFill="1" applyBorder="1" applyAlignment="1" applyProtection="1">
      <alignment vertical="center" wrapText="1"/>
      <protection/>
    </xf>
    <xf numFmtId="202" fontId="130" fillId="38" borderId="20" xfId="93" applyNumberFormat="1" applyFont="1" applyFill="1" applyBorder="1" applyAlignment="1" applyProtection="1">
      <alignment vertical="center" wrapText="1"/>
      <protection/>
    </xf>
    <xf numFmtId="9" fontId="35" fillId="38" borderId="20" xfId="93" applyNumberFormat="1" applyFont="1" applyFill="1" applyBorder="1" applyAlignment="1" applyProtection="1">
      <alignment horizontal="right" vertical="center" wrapText="1"/>
      <protection/>
    </xf>
    <xf numFmtId="202" fontId="130" fillId="0" borderId="20" xfId="93" applyNumberFormat="1" applyFont="1" applyFill="1" applyBorder="1" applyAlignment="1" applyProtection="1">
      <alignment horizontal="right" vertical="center" wrapText="1"/>
      <protection/>
    </xf>
    <xf numFmtId="3" fontId="37" fillId="0" borderId="20" xfId="135" applyNumberFormat="1" applyFont="1" applyFill="1" applyBorder="1" applyAlignment="1" applyProtection="1">
      <alignment horizontal="right" vertical="center"/>
      <protection/>
    </xf>
    <xf numFmtId="202" fontId="35" fillId="0" borderId="20" xfId="93" applyNumberFormat="1" applyFont="1" applyFill="1" applyBorder="1" applyAlignment="1" applyProtection="1">
      <alignment horizontal="right" vertical="center" wrapText="1"/>
      <protection/>
    </xf>
    <xf numFmtId="9" fontId="35" fillId="44" borderId="20" xfId="93" applyNumberFormat="1" applyFont="1" applyFill="1" applyBorder="1" applyAlignment="1" applyProtection="1">
      <alignment horizontal="right" vertical="center" wrapText="1"/>
      <protection/>
    </xf>
    <xf numFmtId="3" fontId="8" fillId="0" borderId="20" xfId="0" applyNumberFormat="1" applyFont="1" applyBorder="1" applyAlignment="1">
      <alignment/>
    </xf>
    <xf numFmtId="3" fontId="0" fillId="0" borderId="21" xfId="0" applyNumberFormat="1" applyFont="1" applyBorder="1" applyAlignment="1">
      <alignment/>
    </xf>
    <xf numFmtId="3" fontId="0" fillId="47" borderId="21" xfId="0" applyNumberFormat="1" applyFont="1" applyFill="1" applyBorder="1" applyAlignment="1">
      <alignment/>
    </xf>
    <xf numFmtId="49" fontId="37" fillId="0" borderId="39" xfId="0" applyNumberFormat="1" applyFont="1" applyFill="1" applyBorder="1" applyAlignment="1" applyProtection="1">
      <alignment horizontal="center" vertical="center"/>
      <protection/>
    </xf>
    <xf numFmtId="49" fontId="35" fillId="47" borderId="20" xfId="0" applyNumberFormat="1" applyFont="1" applyFill="1" applyBorder="1" applyAlignment="1" applyProtection="1">
      <alignment vertical="center"/>
      <protection locked="0"/>
    </xf>
    <xf numFmtId="202" fontId="35" fillId="0" borderId="20" xfId="93" applyNumberFormat="1" applyFont="1" applyFill="1" applyBorder="1" applyAlignment="1" applyProtection="1">
      <alignment horizontal="right" vertical="center" wrapText="1"/>
      <protection/>
    </xf>
    <xf numFmtId="3" fontId="37" fillId="47" borderId="20" xfId="0" applyNumberFormat="1" applyFont="1" applyFill="1" applyBorder="1" applyAlignment="1" applyProtection="1">
      <alignment horizontal="right" vertical="center"/>
      <protection/>
    </xf>
    <xf numFmtId="9" fontId="35" fillId="44" borderId="20" xfId="93" applyNumberFormat="1" applyFont="1" applyFill="1" applyBorder="1" applyAlignment="1" applyProtection="1">
      <alignment horizontal="right" vertical="center" wrapText="1"/>
      <protection/>
    </xf>
    <xf numFmtId="9" fontId="35" fillId="49" borderId="20" xfId="93" applyNumberFormat="1" applyFont="1" applyFill="1" applyBorder="1" applyAlignment="1" applyProtection="1">
      <alignment horizontal="right" vertical="center" wrapText="1"/>
      <protection/>
    </xf>
    <xf numFmtId="202" fontId="130" fillId="38" borderId="20" xfId="93" applyNumberFormat="1" applyFont="1" applyFill="1" applyBorder="1" applyAlignment="1" applyProtection="1">
      <alignment horizontal="right" vertical="center" wrapText="1"/>
      <protection/>
    </xf>
    <xf numFmtId="9" fontId="35" fillId="38" borderId="20" xfId="93" applyNumberFormat="1" applyFont="1" applyFill="1" applyBorder="1" applyAlignment="1" applyProtection="1">
      <alignment horizontal="right" vertical="center" wrapText="1"/>
      <protection/>
    </xf>
    <xf numFmtId="202" fontId="35" fillId="0" borderId="20" xfId="93" applyNumberFormat="1" applyFont="1" applyFill="1" applyBorder="1" applyAlignment="1" applyProtection="1">
      <alignment horizontal="right" vertical="center" wrapText="1"/>
      <protection/>
    </xf>
    <xf numFmtId="3" fontId="35" fillId="47" borderId="20" xfId="0" applyNumberFormat="1" applyFont="1" applyFill="1" applyBorder="1" applyAlignment="1" applyProtection="1">
      <alignment horizontal="right" vertical="center"/>
      <protection/>
    </xf>
    <xf numFmtId="9" fontId="35" fillId="44" borderId="20" xfId="93" applyNumberFormat="1" applyFont="1" applyFill="1" applyBorder="1" applyAlignment="1" applyProtection="1">
      <alignment horizontal="right" vertical="center" wrapText="1"/>
      <protection/>
    </xf>
    <xf numFmtId="3" fontId="35" fillId="0" borderId="20" xfId="0" applyNumberFormat="1" applyFont="1" applyFill="1" applyBorder="1" applyAlignment="1" applyProtection="1">
      <alignment horizontal="right" vertical="center"/>
      <protection/>
    </xf>
    <xf numFmtId="3" fontId="22" fillId="0" borderId="20" xfId="135" applyNumberFormat="1" applyFont="1" applyFill="1" applyBorder="1" applyAlignment="1" applyProtection="1">
      <alignment horizontal="center" vertical="center"/>
      <protection/>
    </xf>
    <xf numFmtId="3" fontId="22" fillId="0" borderId="20" xfId="135" applyNumberFormat="1" applyFont="1" applyFill="1" applyBorder="1" applyAlignment="1" applyProtection="1">
      <alignment horizontal="right" vertical="center"/>
      <protection/>
    </xf>
    <xf numFmtId="3" fontId="37" fillId="0" borderId="20" xfId="135" applyNumberFormat="1" applyFont="1" applyFill="1" applyBorder="1" applyAlignment="1" applyProtection="1">
      <alignment horizontal="right" vertical="center"/>
      <protection/>
    </xf>
    <xf numFmtId="49" fontId="35" fillId="47" borderId="20" xfId="0" applyNumberFormat="1" applyFont="1" applyFill="1" applyBorder="1" applyAlignment="1" applyProtection="1">
      <alignment horizontal="left" vertical="center"/>
      <protection locked="0"/>
    </xf>
    <xf numFmtId="3" fontId="131" fillId="47" borderId="20" xfId="0" applyNumberFormat="1" applyFont="1" applyFill="1" applyBorder="1" applyAlignment="1" applyProtection="1">
      <alignment horizontal="right" vertical="center"/>
      <protection/>
    </xf>
    <xf numFmtId="221" fontId="131" fillId="47" borderId="20" xfId="0" applyNumberFormat="1" applyFont="1" applyFill="1" applyBorder="1" applyAlignment="1" applyProtection="1">
      <alignment horizontal="right" vertical="center"/>
      <protection locked="0"/>
    </xf>
    <xf numFmtId="49" fontId="35" fillId="47" borderId="20" xfId="0" applyNumberFormat="1" applyFont="1" applyFill="1" applyBorder="1" applyAlignment="1" applyProtection="1">
      <alignment horizontal="center" vertical="center"/>
      <protection locked="0"/>
    </xf>
    <xf numFmtId="49" fontId="37" fillId="47" borderId="20" xfId="0" applyNumberFormat="1" applyFont="1" applyFill="1" applyBorder="1" applyAlignment="1" applyProtection="1">
      <alignment vertical="center"/>
      <protection locked="0"/>
    </xf>
    <xf numFmtId="3" fontId="114" fillId="0" borderId="20" xfId="0" applyNumberFormat="1" applyFont="1" applyFill="1" applyBorder="1" applyAlignment="1" applyProtection="1">
      <alignment horizontal="right"/>
      <protection locked="0"/>
    </xf>
    <xf numFmtId="202" fontId="10" fillId="0" borderId="20" xfId="93" applyNumberFormat="1" applyFont="1" applyFill="1" applyBorder="1" applyAlignment="1" applyProtection="1">
      <alignment vertical="center" wrapText="1"/>
      <protection/>
    </xf>
    <xf numFmtId="3" fontId="13" fillId="0" borderId="20" xfId="135" applyNumberFormat="1" applyFont="1" applyFill="1" applyBorder="1" applyAlignment="1" applyProtection="1">
      <alignment vertical="center"/>
      <protection/>
    </xf>
    <xf numFmtId="202" fontId="130" fillId="0" borderId="20" xfId="93" applyNumberFormat="1" applyFont="1" applyFill="1" applyBorder="1" applyAlignment="1" applyProtection="1">
      <alignment vertical="center" wrapText="1"/>
      <protection/>
    </xf>
    <xf numFmtId="3" fontId="37" fillId="0" borderId="20" xfId="135" applyNumberFormat="1" applyFont="1" applyFill="1" applyBorder="1" applyAlignment="1" applyProtection="1">
      <alignment vertical="center"/>
      <protection/>
    </xf>
    <xf numFmtId="202" fontId="35" fillId="0" borderId="20" xfId="93" applyNumberFormat="1" applyFont="1" applyFill="1" applyBorder="1" applyAlignment="1" applyProtection="1">
      <alignment vertical="center" wrapText="1"/>
      <protection/>
    </xf>
    <xf numFmtId="202" fontId="0" fillId="48" borderId="20" xfId="93" applyNumberFormat="1" applyFont="1" applyFill="1" applyBorder="1" applyAlignment="1">
      <alignment/>
    </xf>
    <xf numFmtId="202" fontId="0" fillId="0" borderId="20" xfId="93" applyNumberFormat="1" applyFont="1" applyBorder="1" applyAlignment="1">
      <alignment horizontal="center"/>
    </xf>
    <xf numFmtId="202" fontId="40" fillId="0" borderId="23" xfId="93" applyNumberFormat="1" applyFont="1" applyBorder="1" applyAlignment="1">
      <alignment/>
    </xf>
    <xf numFmtId="202" fontId="0" fillId="0" borderId="23" xfId="93" applyNumberFormat="1" applyFont="1" applyBorder="1" applyAlignment="1">
      <alignment/>
    </xf>
    <xf numFmtId="202" fontId="130" fillId="38" borderId="20" xfId="93" applyNumberFormat="1" applyFont="1" applyFill="1" applyBorder="1" applyAlignment="1" applyProtection="1">
      <alignment vertical="center" wrapText="1"/>
      <protection/>
    </xf>
    <xf numFmtId="3" fontId="22" fillId="0" borderId="20" xfId="135" applyNumberFormat="1" applyFont="1" applyFill="1" applyBorder="1" applyAlignment="1" applyProtection="1">
      <alignment vertical="center"/>
      <protection/>
    </xf>
    <xf numFmtId="221" fontId="10" fillId="47" borderId="20" xfId="0" applyNumberFormat="1" applyFont="1" applyFill="1" applyBorder="1" applyAlignment="1" applyProtection="1">
      <alignment horizontal="right" vertical="center"/>
      <protection locked="0"/>
    </xf>
    <xf numFmtId="221" fontId="10" fillId="47" borderId="20" xfId="149" applyNumberFormat="1" applyFont="1" applyFill="1" applyBorder="1" applyAlignment="1" applyProtection="1">
      <alignment horizontal="right" vertical="center"/>
      <protection locked="0"/>
    </xf>
    <xf numFmtId="202" fontId="0" fillId="48" borderId="21" xfId="93" applyNumberFormat="1" applyFont="1" applyFill="1" applyBorder="1" applyAlignment="1">
      <alignment horizontal="right"/>
    </xf>
    <xf numFmtId="202" fontId="25" fillId="0" borderId="23" xfId="93" applyNumberFormat="1" applyFont="1" applyBorder="1" applyAlignment="1">
      <alignment/>
    </xf>
    <xf numFmtId="218" fontId="124" fillId="0" borderId="20" xfId="0" applyNumberFormat="1" applyFont="1" applyFill="1" applyBorder="1" applyAlignment="1">
      <alignment vertical="center"/>
    </xf>
    <xf numFmtId="0" fontId="10" fillId="0" borderId="20" xfId="0" applyFont="1" applyBorder="1" applyAlignment="1">
      <alignment horizontal="center" vertical="center" wrapText="1"/>
    </xf>
    <xf numFmtId="0" fontId="10" fillId="0" borderId="20" xfId="0" applyFont="1" applyBorder="1" applyAlignment="1">
      <alignment horizontal="center" wrapText="1"/>
    </xf>
    <xf numFmtId="0" fontId="10" fillId="0" borderId="20"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horizontal="center"/>
    </xf>
    <xf numFmtId="0" fontId="24" fillId="0" borderId="20" xfId="0" applyFont="1" applyFill="1" applyBorder="1" applyAlignment="1">
      <alignment horizontal="center"/>
    </xf>
    <xf numFmtId="0" fontId="11" fillId="0" borderId="20" xfId="0" applyFont="1" applyBorder="1" applyAlignment="1">
      <alignment horizontal="center" vertical="center"/>
    </xf>
    <xf numFmtId="0" fontId="11" fillId="0" borderId="20" xfId="0" applyFont="1" applyBorder="1" applyAlignment="1">
      <alignment vertical="center"/>
    </xf>
    <xf numFmtId="0" fontId="10" fillId="0" borderId="20" xfId="0" applyFont="1" applyBorder="1" applyAlignment="1">
      <alignment vertical="center" wrapText="1"/>
    </xf>
    <xf numFmtId="0" fontId="10" fillId="0" borderId="20" xfId="0" applyFont="1" applyBorder="1" applyAlignment="1">
      <alignment vertical="center"/>
    </xf>
    <xf numFmtId="202" fontId="0" fillId="38" borderId="21" xfId="93" applyNumberFormat="1" applyFont="1" applyFill="1" applyBorder="1" applyAlignment="1">
      <alignment/>
    </xf>
    <xf numFmtId="202" fontId="40" fillId="47" borderId="20" xfId="93" applyNumberFormat="1" applyFont="1" applyFill="1" applyBorder="1" applyAlignment="1">
      <alignment/>
    </xf>
    <xf numFmtId="202" fontId="0" fillId="47" borderId="20" xfId="93" applyNumberFormat="1" applyFont="1" applyFill="1" applyBorder="1" applyAlignment="1">
      <alignment/>
    </xf>
    <xf numFmtId="202" fontId="40" fillId="47" borderId="23" xfId="93" applyNumberFormat="1" applyFont="1" applyFill="1" applyBorder="1" applyAlignment="1">
      <alignment/>
    </xf>
    <xf numFmtId="202" fontId="0" fillId="47" borderId="23" xfId="93" applyNumberFormat="1" applyFont="1" applyFill="1" applyBorder="1" applyAlignment="1">
      <alignment/>
    </xf>
    <xf numFmtId="3" fontId="10" fillId="0" borderId="20" xfId="141" applyNumberFormat="1" applyFont="1" applyFill="1" applyBorder="1" applyAlignment="1">
      <alignment horizontal="center" vertical="center" wrapText="1"/>
      <protection/>
    </xf>
    <xf numFmtId="3" fontId="24" fillId="0" borderId="20" xfId="141" applyNumberFormat="1" applyFont="1" applyFill="1" applyBorder="1" applyAlignment="1">
      <alignment horizontal="center" vertical="center" wrapText="1"/>
      <protection/>
    </xf>
    <xf numFmtId="3" fontId="32" fillId="0" borderId="20" xfId="141" applyNumberFormat="1" applyFont="1" applyFill="1" applyBorder="1" applyAlignment="1">
      <alignment horizontal="center" vertical="center" wrapText="1"/>
      <protection/>
    </xf>
    <xf numFmtId="3" fontId="10" fillId="0" borderId="20" xfId="141" applyNumberFormat="1" applyFont="1" applyFill="1" applyBorder="1" applyAlignment="1">
      <alignment horizontal="right" vertical="center" wrapText="1"/>
      <protection/>
    </xf>
    <xf numFmtId="3" fontId="32" fillId="0" borderId="20" xfId="141" applyNumberFormat="1" applyFont="1" applyFill="1" applyBorder="1" applyAlignment="1">
      <alignment horizontal="right" vertical="center" wrapText="1"/>
      <protection/>
    </xf>
    <xf numFmtId="218" fontId="0" fillId="0" borderId="20" xfId="0" applyNumberFormat="1" applyFont="1" applyFill="1" applyBorder="1" applyAlignment="1">
      <alignment horizontal="right"/>
    </xf>
    <xf numFmtId="49" fontId="29" fillId="0" borderId="0" xfId="0" applyNumberFormat="1" applyFont="1" applyFill="1" applyAlignment="1">
      <alignment/>
    </xf>
    <xf numFmtId="49" fontId="29" fillId="0" borderId="0" xfId="0" applyNumberFormat="1" applyFont="1" applyFill="1" applyAlignment="1">
      <alignment/>
    </xf>
    <xf numFmtId="49" fontId="29" fillId="0" borderId="0" xfId="0" applyNumberFormat="1" applyFont="1" applyFill="1" applyBorder="1" applyAlignment="1">
      <alignment/>
    </xf>
    <xf numFmtId="49" fontId="109" fillId="0" borderId="0" xfId="0" applyNumberFormat="1" applyFont="1" applyFill="1" applyAlignment="1">
      <alignment/>
    </xf>
    <xf numFmtId="49" fontId="29" fillId="0" borderId="0" xfId="0" applyNumberFormat="1" applyFont="1" applyFill="1" applyAlignment="1">
      <alignment horizontal="center"/>
    </xf>
    <xf numFmtId="49" fontId="17" fillId="0" borderId="0" xfId="0" applyNumberFormat="1" applyFont="1" applyFill="1" applyAlignment="1">
      <alignment/>
    </xf>
    <xf numFmtId="49" fontId="29" fillId="0" borderId="0" xfId="0" applyNumberFormat="1" applyFont="1" applyFill="1" applyAlignment="1">
      <alignment horizontal="right"/>
    </xf>
    <xf numFmtId="49" fontId="29" fillId="0" borderId="20" xfId="0" applyNumberFormat="1" applyFont="1" applyFill="1" applyBorder="1" applyAlignment="1" applyProtection="1">
      <alignment horizontal="center" vertical="center" wrapText="1"/>
      <protection/>
    </xf>
    <xf numFmtId="49" fontId="29" fillId="0" borderId="20" xfId="0" applyNumberFormat="1" applyFont="1" applyFill="1" applyBorder="1" applyAlignment="1">
      <alignment horizontal="center" vertical="center" wrapText="1"/>
    </xf>
    <xf numFmtId="49" fontId="109" fillId="0" borderId="20" xfId="0" applyNumberFormat="1" applyFont="1" applyFill="1" applyBorder="1" applyAlignment="1" applyProtection="1">
      <alignment horizontal="center" vertical="center"/>
      <protection/>
    </xf>
    <xf numFmtId="49" fontId="109" fillId="0" borderId="38" xfId="0" applyNumberFormat="1" applyFont="1" applyFill="1" applyBorder="1" applyAlignment="1" applyProtection="1">
      <alignment horizontal="center" vertical="center"/>
      <protection/>
    </xf>
    <xf numFmtId="202" fontId="133" fillId="44" borderId="20" xfId="93" applyNumberFormat="1" applyFont="1" applyFill="1" applyBorder="1" applyAlignment="1" applyProtection="1">
      <alignment vertical="center"/>
      <protection/>
    </xf>
    <xf numFmtId="202" fontId="17" fillId="48" borderId="20" xfId="93" applyNumberFormat="1" applyFont="1" applyFill="1" applyBorder="1" applyAlignment="1" applyProtection="1">
      <alignment horizontal="center" vertical="center"/>
      <protection locked="0"/>
    </xf>
    <xf numFmtId="202" fontId="29" fillId="0" borderId="20" xfId="93" applyNumberFormat="1" applyFont="1" applyFill="1" applyBorder="1" applyAlignment="1" applyProtection="1">
      <alignment horizontal="center" vertical="center"/>
      <protection locked="0"/>
    </xf>
    <xf numFmtId="202" fontId="132" fillId="0" borderId="20" xfId="93" applyNumberFormat="1" applyFont="1" applyFill="1" applyBorder="1" applyAlignment="1" applyProtection="1">
      <alignment horizontal="center" vertical="center"/>
      <protection locked="0"/>
    </xf>
    <xf numFmtId="202" fontId="81" fillId="48" borderId="20" xfId="93" applyNumberFormat="1" applyFont="1" applyFill="1" applyBorder="1" applyAlignment="1" applyProtection="1">
      <alignment horizontal="center" vertical="center"/>
      <protection locked="0"/>
    </xf>
    <xf numFmtId="0" fontId="29" fillId="0" borderId="41" xfId="135" applyNumberFormat="1" applyFont="1" applyFill="1" applyBorder="1" applyAlignment="1" applyProtection="1">
      <alignment horizontal="center" vertical="center"/>
      <protection/>
    </xf>
    <xf numFmtId="0" fontId="29" fillId="0" borderId="0" xfId="0" applyNumberFormat="1" applyFont="1" applyFill="1" applyBorder="1" applyAlignment="1">
      <alignment horizontal="center" wrapText="1"/>
    </xf>
    <xf numFmtId="0" fontId="17" fillId="0" borderId="0" xfId="0" applyNumberFormat="1" applyFont="1" applyFill="1" applyBorder="1" applyAlignment="1">
      <alignment/>
    </xf>
    <xf numFmtId="0" fontId="17" fillId="0" borderId="0" xfId="0" applyNumberFormat="1" applyFont="1" applyFill="1" applyBorder="1" applyAlignment="1">
      <alignment horizontal="center" wrapText="1"/>
    </xf>
    <xf numFmtId="2" fontId="176" fillId="0" borderId="0" xfId="0" applyNumberFormat="1" applyFont="1" applyFill="1" applyAlignment="1">
      <alignment/>
    </xf>
    <xf numFmtId="221" fontId="11" fillId="50" borderId="21" xfId="0" applyNumberFormat="1" applyFont="1" applyFill="1" applyBorder="1" applyAlignment="1" applyProtection="1">
      <alignment/>
      <protection locked="0"/>
    </xf>
    <xf numFmtId="221" fontId="11" fillId="50" borderId="23" xfId="0" applyNumberFormat="1" applyFont="1" applyFill="1" applyBorder="1" applyAlignment="1" applyProtection="1">
      <alignment/>
      <protection locked="0"/>
    </xf>
    <xf numFmtId="3" fontId="10" fillId="47" borderId="20" xfId="0" applyNumberFormat="1" applyFont="1" applyFill="1" applyBorder="1" applyAlignment="1" applyProtection="1">
      <alignment horizontal="right" vertical="center"/>
      <protection/>
    </xf>
    <xf numFmtId="3" fontId="10" fillId="47" borderId="20" xfId="148" applyNumberFormat="1" applyFont="1" applyFill="1" applyBorder="1" applyAlignment="1" applyProtection="1">
      <alignment horizontal="right" vertical="center"/>
      <protection/>
    </xf>
    <xf numFmtId="3" fontId="10" fillId="47" borderId="20" xfId="0" applyNumberFormat="1" applyFont="1" applyFill="1" applyBorder="1" applyAlignment="1">
      <alignment horizontal="right"/>
    </xf>
    <xf numFmtId="202" fontId="11" fillId="38" borderId="20" xfId="93" applyNumberFormat="1" applyFont="1" applyFill="1" applyBorder="1" applyAlignment="1" applyProtection="1">
      <alignment horizontal="right" vertical="center" wrapText="1"/>
      <protection/>
    </xf>
    <xf numFmtId="202" fontId="17" fillId="38" borderId="20" xfId="93" applyNumberFormat="1" applyFont="1" applyFill="1" applyBorder="1" applyAlignment="1" applyProtection="1">
      <alignment vertical="center" wrapText="1"/>
      <protection/>
    </xf>
    <xf numFmtId="9" fontId="10" fillId="38" borderId="20" xfId="93" applyNumberFormat="1" applyFont="1" applyFill="1" applyBorder="1" applyAlignment="1" applyProtection="1">
      <alignment horizontal="right" vertical="center" wrapText="1"/>
      <protection/>
    </xf>
    <xf numFmtId="0" fontId="176" fillId="0" borderId="0" xfId="0" applyFont="1" applyFill="1" applyAlignment="1">
      <alignment/>
    </xf>
    <xf numFmtId="3" fontId="11" fillId="0" borderId="20" xfId="135" applyNumberFormat="1" applyFont="1" applyFill="1" applyBorder="1" applyAlignment="1" applyProtection="1">
      <alignment horizontal="right" vertical="center"/>
      <protection/>
    </xf>
    <xf numFmtId="202" fontId="31" fillId="48" borderId="20" xfId="93" applyNumberFormat="1" applyFont="1" applyFill="1" applyBorder="1" applyAlignment="1" applyProtection="1">
      <alignment horizontal="center" vertical="center"/>
      <protection locked="0"/>
    </xf>
    <xf numFmtId="202" fontId="31" fillId="48" borderId="26" xfId="93" applyNumberFormat="1" applyFont="1" applyFill="1" applyBorder="1" applyAlignment="1" applyProtection="1">
      <alignment horizontal="left" vertical="center" wrapText="1"/>
      <protection locked="0"/>
    </xf>
    <xf numFmtId="202" fontId="31" fillId="38" borderId="20" xfId="93" applyNumberFormat="1" applyFont="1" applyFill="1" applyBorder="1" applyAlignment="1" applyProtection="1">
      <alignment vertical="center"/>
      <protection/>
    </xf>
    <xf numFmtId="9" fontId="31" fillId="38" borderId="20" xfId="148" applyNumberFormat="1" applyFont="1" applyFill="1" applyBorder="1" applyAlignment="1" applyProtection="1">
      <alignment vertical="center"/>
      <protection/>
    </xf>
    <xf numFmtId="3" fontId="134" fillId="0" borderId="20" xfId="0" applyNumberFormat="1" applyFont="1" applyFill="1" applyBorder="1" applyAlignment="1" applyProtection="1">
      <alignment/>
      <protection locked="0"/>
    </xf>
    <xf numFmtId="3" fontId="8" fillId="47" borderId="21" xfId="0" applyNumberFormat="1" applyFont="1" applyFill="1" applyBorder="1" applyAlignment="1" applyProtection="1">
      <alignment horizontal="right"/>
      <protection locked="0"/>
    </xf>
    <xf numFmtId="221" fontId="10" fillId="47" borderId="20" xfId="0" applyNumberFormat="1" applyFont="1" applyFill="1" applyBorder="1" applyAlignment="1" applyProtection="1">
      <alignment horizontal="right" vertical="center"/>
      <protection locked="0"/>
    </xf>
    <xf numFmtId="221" fontId="10" fillId="0" borderId="20" xfId="0" applyNumberFormat="1" applyFont="1" applyFill="1" applyBorder="1" applyAlignment="1" applyProtection="1">
      <alignment horizontal="right" vertical="center"/>
      <protection locked="0"/>
    </xf>
    <xf numFmtId="3" fontId="10" fillId="0" borderId="20" xfId="0" applyNumberFormat="1" applyFont="1" applyFill="1" applyBorder="1" applyAlignment="1" applyProtection="1">
      <alignment horizontal="right" vertical="center"/>
      <protection/>
    </xf>
    <xf numFmtId="3" fontId="10" fillId="0" borderId="20" xfId="148" applyNumberFormat="1" applyFont="1" applyFill="1" applyBorder="1" applyAlignment="1" applyProtection="1">
      <alignment horizontal="right" vertical="center"/>
      <protection/>
    </xf>
    <xf numFmtId="202" fontId="0" fillId="0" borderId="23" xfId="93" applyNumberFormat="1" applyFont="1" applyBorder="1" applyAlignment="1">
      <alignment horizontal="right"/>
    </xf>
    <xf numFmtId="202" fontId="0" fillId="0" borderId="20" xfId="93" applyNumberFormat="1" applyFont="1" applyBorder="1" applyAlignment="1">
      <alignment horizontal="right"/>
    </xf>
    <xf numFmtId="202" fontId="135" fillId="44" borderId="20" xfId="93" applyNumberFormat="1" applyFont="1" applyFill="1" applyBorder="1" applyAlignment="1" applyProtection="1">
      <alignment vertical="center"/>
      <protection/>
    </xf>
    <xf numFmtId="202" fontId="135" fillId="52" borderId="20" xfId="93" applyNumberFormat="1" applyFont="1" applyFill="1" applyBorder="1" applyAlignment="1" applyProtection="1">
      <alignment vertical="center"/>
      <protection/>
    </xf>
    <xf numFmtId="202" fontId="135" fillId="38" borderId="20" xfId="93" applyNumberFormat="1" applyFont="1" applyFill="1" applyBorder="1" applyAlignment="1" applyProtection="1">
      <alignment vertical="center"/>
      <protection/>
    </xf>
    <xf numFmtId="9" fontId="13" fillId="38" borderId="20" xfId="148" applyNumberFormat="1" applyFont="1" applyFill="1" applyBorder="1" applyAlignment="1" applyProtection="1">
      <alignment vertical="center"/>
      <protection/>
    </xf>
    <xf numFmtId="202" fontId="31" fillId="38" borderId="20" xfId="93" applyNumberFormat="1" applyFont="1" applyFill="1" applyBorder="1" applyAlignment="1" applyProtection="1">
      <alignment vertical="center"/>
      <protection/>
    </xf>
    <xf numFmtId="9" fontId="13" fillId="38" borderId="20" xfId="148" applyNumberFormat="1" applyFont="1" applyFill="1" applyBorder="1" applyAlignment="1" applyProtection="1">
      <alignment vertical="center"/>
      <protection/>
    </xf>
    <xf numFmtId="0" fontId="131" fillId="47" borderId="20" xfId="0" applyFont="1" applyFill="1" applyBorder="1" applyAlignment="1" applyProtection="1">
      <alignment vertical="center"/>
      <protection locked="0"/>
    </xf>
    <xf numFmtId="202" fontId="131" fillId="0" borderId="20" xfId="93" applyNumberFormat="1" applyFont="1" applyFill="1" applyBorder="1" applyAlignment="1" applyProtection="1">
      <alignment vertical="center"/>
      <protection/>
    </xf>
    <xf numFmtId="3" fontId="131" fillId="47" borderId="20" xfId="0" applyNumberFormat="1" applyFont="1" applyFill="1" applyBorder="1" applyAlignment="1" applyProtection="1">
      <alignment horizontal="right" vertical="center"/>
      <protection/>
    </xf>
    <xf numFmtId="9" fontId="131" fillId="44" borderId="20" xfId="148" applyNumberFormat="1" applyFont="1" applyFill="1" applyBorder="1" applyAlignment="1" applyProtection="1">
      <alignment vertical="center"/>
      <protection/>
    </xf>
    <xf numFmtId="3" fontId="131" fillId="0" borderId="20" xfId="0" applyNumberFormat="1" applyFont="1" applyFill="1" applyBorder="1" applyAlignment="1" applyProtection="1">
      <alignment horizontal="right" vertical="center"/>
      <protection/>
    </xf>
    <xf numFmtId="0" fontId="131" fillId="0" borderId="20" xfId="0" applyFont="1" applyFill="1" applyBorder="1" applyAlignment="1" applyProtection="1">
      <alignment vertical="center"/>
      <protection locked="0"/>
    </xf>
    <xf numFmtId="0" fontId="131" fillId="47" borderId="26" xfId="0" applyFont="1" applyFill="1" applyBorder="1" applyAlignment="1" applyProtection="1">
      <alignment vertical="center"/>
      <protection locked="0"/>
    </xf>
    <xf numFmtId="49" fontId="13" fillId="47" borderId="20" xfId="0" applyNumberFormat="1" applyFont="1" applyFill="1" applyBorder="1" applyAlignment="1" applyProtection="1">
      <alignment vertical="center"/>
      <protection locked="0"/>
    </xf>
    <xf numFmtId="202" fontId="13" fillId="0" borderId="20" xfId="93" applyNumberFormat="1" applyFont="1" applyFill="1" applyBorder="1" applyAlignment="1" applyProtection="1">
      <alignment vertical="center"/>
      <protection/>
    </xf>
    <xf numFmtId="3" fontId="13" fillId="0" borderId="20" xfId="135" applyNumberFormat="1" applyFont="1" applyFill="1" applyBorder="1" applyAlignment="1" applyProtection="1">
      <alignment horizontal="right" vertical="center"/>
      <protection/>
    </xf>
    <xf numFmtId="9" fontId="13" fillId="44" borderId="20" xfId="148" applyNumberFormat="1" applyFont="1" applyFill="1" applyBorder="1" applyAlignment="1" applyProtection="1">
      <alignment vertical="center"/>
      <protection/>
    </xf>
    <xf numFmtId="9" fontId="131" fillId="38" borderId="20" xfId="148" applyNumberFormat="1" applyFont="1" applyFill="1" applyBorder="1" applyAlignment="1" applyProtection="1">
      <alignment vertical="center"/>
      <protection/>
    </xf>
    <xf numFmtId="202" fontId="31" fillId="38" borderId="20" xfId="93" applyNumberFormat="1" applyFont="1" applyFill="1" applyBorder="1" applyAlignment="1" applyProtection="1">
      <alignment horizontal="right" vertical="center"/>
      <protection/>
    </xf>
    <xf numFmtId="3" fontId="131" fillId="47" borderId="20" xfId="0" applyNumberFormat="1" applyFont="1" applyFill="1" applyBorder="1" applyAlignment="1" applyProtection="1">
      <alignment horizontal="center" vertical="center"/>
      <protection/>
    </xf>
    <xf numFmtId="202" fontId="136" fillId="38" borderId="20" xfId="93" applyNumberFormat="1" applyFont="1" applyFill="1" applyBorder="1" applyAlignment="1" applyProtection="1">
      <alignment vertical="center"/>
      <protection/>
    </xf>
    <xf numFmtId="3" fontId="131" fillId="47" borderId="20" xfId="0" applyNumberFormat="1" applyFont="1" applyFill="1" applyBorder="1" applyAlignment="1" applyProtection="1">
      <alignment vertical="center"/>
      <protection locked="0"/>
    </xf>
    <xf numFmtId="3" fontId="137" fillId="47" borderId="20" xfId="0" applyNumberFormat="1" applyFont="1" applyFill="1" applyBorder="1" applyAlignment="1" applyProtection="1">
      <alignment horizontal="right" vertical="center"/>
      <protection/>
    </xf>
    <xf numFmtId="3" fontId="138" fillId="0" borderId="20" xfId="0" applyNumberFormat="1" applyFont="1" applyFill="1" applyBorder="1" applyAlignment="1" applyProtection="1">
      <alignment horizontal="right" vertical="center"/>
      <protection/>
    </xf>
    <xf numFmtId="3" fontId="137" fillId="0" borderId="20" xfId="0" applyNumberFormat="1" applyFont="1" applyFill="1" applyBorder="1" applyAlignment="1" applyProtection="1">
      <alignment horizontal="right" vertical="center"/>
      <protection locked="0"/>
    </xf>
    <xf numFmtId="9" fontId="119" fillId="38" borderId="20" xfId="93" applyNumberFormat="1" applyFont="1" applyFill="1" applyBorder="1" applyAlignment="1" applyProtection="1">
      <alignment vertical="center" wrapText="1"/>
      <protection/>
    </xf>
    <xf numFmtId="9" fontId="119" fillId="44" borderId="20" xfId="93" applyNumberFormat="1" applyFont="1" applyFill="1" applyBorder="1" applyAlignment="1" applyProtection="1">
      <alignment vertical="center" wrapText="1"/>
      <protection/>
    </xf>
    <xf numFmtId="3" fontId="32" fillId="0" borderId="20" xfId="141" applyNumberFormat="1" applyFont="1" applyFill="1" applyBorder="1" applyAlignment="1">
      <alignment horizontal="right" vertical="center"/>
      <protection/>
    </xf>
    <xf numFmtId="3" fontId="8" fillId="49" borderId="20" xfId="0" applyNumberFormat="1" applyFont="1" applyFill="1" applyBorder="1" applyAlignment="1" applyProtection="1">
      <alignment horizontal="right"/>
      <protection locked="0"/>
    </xf>
    <xf numFmtId="218" fontId="29" fillId="0"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locked="0"/>
    </xf>
    <xf numFmtId="3" fontId="29" fillId="47" borderId="20" xfId="0" applyNumberFormat="1" applyFont="1" applyFill="1" applyBorder="1" applyAlignment="1" applyProtection="1">
      <alignment horizontal="right" vertical="center"/>
      <protection/>
    </xf>
    <xf numFmtId="3" fontId="29" fillId="0" borderId="20" xfId="0" applyNumberFormat="1" applyFont="1" applyFill="1" applyBorder="1" applyAlignment="1" applyProtection="1">
      <alignment horizontal="right" vertical="center"/>
      <protection locked="0"/>
    </xf>
    <xf numFmtId="3" fontId="29" fillId="0" borderId="20" xfId="0" applyNumberFormat="1" applyFont="1" applyFill="1" applyBorder="1" applyAlignment="1" applyProtection="1">
      <alignment horizontal="right" vertical="center"/>
      <protection/>
    </xf>
    <xf numFmtId="218" fontId="29" fillId="47" borderId="20" xfId="0" applyNumberFormat="1" applyFont="1" applyFill="1" applyBorder="1" applyAlignment="1" applyProtection="1">
      <alignment horizontal="right" vertical="center"/>
      <protection locked="0"/>
    </xf>
    <xf numFmtId="3" fontId="29" fillId="47" borderId="20" xfId="148" applyNumberFormat="1" applyFont="1" applyFill="1" applyBorder="1" applyAlignment="1" applyProtection="1">
      <alignment horizontal="right" vertical="center"/>
      <protection/>
    </xf>
    <xf numFmtId="3" fontId="29" fillId="47" borderId="20" xfId="0" applyNumberFormat="1" applyFont="1" applyFill="1" applyBorder="1" applyAlignment="1">
      <alignment horizontal="right" vertical="center"/>
    </xf>
    <xf numFmtId="3" fontId="29" fillId="0" borderId="20" xfId="148" applyNumberFormat="1" applyFont="1" applyFill="1" applyBorder="1" applyAlignment="1" applyProtection="1">
      <alignment horizontal="right" vertical="center"/>
      <protection/>
    </xf>
    <xf numFmtId="202" fontId="31" fillId="0" borderId="20" xfId="93" applyNumberFormat="1" applyFont="1" applyFill="1" applyBorder="1" applyAlignment="1" applyProtection="1">
      <alignment vertical="center"/>
      <protection/>
    </xf>
    <xf numFmtId="3" fontId="31" fillId="47" borderId="20" xfId="0" applyNumberFormat="1" applyFont="1" applyFill="1" applyBorder="1" applyAlignment="1" applyProtection="1">
      <alignment vertical="center"/>
      <protection locked="0"/>
    </xf>
    <xf numFmtId="49" fontId="13" fillId="47" borderId="20" xfId="0" applyNumberFormat="1" applyFont="1" applyFill="1" applyBorder="1" applyAlignment="1" applyProtection="1">
      <alignment horizontal="left" vertical="center"/>
      <protection locked="0"/>
    </xf>
    <xf numFmtId="0" fontId="13" fillId="47" borderId="20" xfId="0" applyFont="1" applyFill="1" applyBorder="1" applyAlignment="1" applyProtection="1">
      <alignment vertical="center"/>
      <protection locked="0"/>
    </xf>
    <xf numFmtId="0" fontId="5" fillId="0" borderId="20" xfId="0" applyNumberFormat="1" applyFont="1" applyFill="1" applyBorder="1" applyAlignment="1" applyProtection="1">
      <alignment vertical="center"/>
      <protection/>
    </xf>
    <xf numFmtId="202" fontId="29" fillId="0" borderId="20" xfId="93" applyNumberFormat="1" applyFont="1" applyFill="1" applyBorder="1" applyAlignment="1" applyProtection="1">
      <alignment vertical="center" wrapText="1"/>
      <protection/>
    </xf>
    <xf numFmtId="49" fontId="35" fillId="47" borderId="20" xfId="0" applyNumberFormat="1" applyFont="1" applyFill="1" applyBorder="1" applyAlignment="1" applyProtection="1">
      <alignment vertical="center"/>
      <protection locked="0"/>
    </xf>
    <xf numFmtId="3" fontId="25" fillId="47" borderId="20" xfId="0" applyNumberFormat="1" applyFont="1" applyFill="1" applyBorder="1" applyAlignment="1" applyProtection="1">
      <alignment/>
      <protection locked="0"/>
    </xf>
    <xf numFmtId="3" fontId="37" fillId="47" borderId="20" xfId="0" applyNumberFormat="1" applyFont="1" applyFill="1" applyBorder="1" applyAlignment="1" applyProtection="1">
      <alignment/>
      <protection locked="0"/>
    </xf>
    <xf numFmtId="3" fontId="29" fillId="47" borderId="20"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10" fillId="0" borderId="21" xfId="0" applyNumberFormat="1" applyFont="1" applyFill="1" applyBorder="1" applyAlignment="1" applyProtection="1">
      <alignment vertical="center"/>
      <protection locked="0"/>
    </xf>
    <xf numFmtId="49" fontId="10" fillId="0" borderId="20" xfId="0" applyNumberFormat="1" applyFont="1" applyFill="1" applyBorder="1" applyAlignment="1" applyProtection="1">
      <alignment vertical="center"/>
      <protection locked="0"/>
    </xf>
    <xf numFmtId="3" fontId="10" fillId="47" borderId="21" xfId="0" applyNumberFormat="1" applyFont="1" applyFill="1" applyBorder="1" applyAlignment="1" applyProtection="1">
      <alignment horizontal="right" vertical="center"/>
      <protection/>
    </xf>
    <xf numFmtId="3" fontId="10" fillId="47" borderId="21" xfId="148" applyNumberFormat="1" applyFont="1" applyFill="1" applyBorder="1" applyAlignment="1" applyProtection="1">
      <alignment horizontal="right" vertical="center"/>
      <protection/>
    </xf>
    <xf numFmtId="3" fontId="10" fillId="47" borderId="21" xfId="0" applyNumberFormat="1" applyFont="1" applyFill="1" applyBorder="1" applyAlignment="1">
      <alignment horizontal="right"/>
    </xf>
    <xf numFmtId="221" fontId="11" fillId="53" borderId="20" xfId="0" applyNumberFormat="1" applyFont="1" applyFill="1" applyBorder="1" applyAlignment="1" applyProtection="1">
      <alignment horizontal="right"/>
      <protection/>
    </xf>
    <xf numFmtId="3" fontId="134" fillId="47" borderId="20" xfId="0" applyNumberFormat="1" applyFont="1" applyFill="1" applyBorder="1" applyAlignment="1" applyProtection="1">
      <alignment horizontal="right" vertical="center"/>
      <protection/>
    </xf>
    <xf numFmtId="3" fontId="134" fillId="47" borderId="20" xfId="148" applyNumberFormat="1" applyFont="1" applyFill="1" applyBorder="1" applyAlignment="1" applyProtection="1">
      <alignment horizontal="right" vertical="center"/>
      <protection/>
    </xf>
    <xf numFmtId="3" fontId="134" fillId="47" borderId="20" xfId="0" applyNumberFormat="1" applyFont="1" applyFill="1" applyBorder="1" applyAlignment="1">
      <alignment horizontal="right"/>
    </xf>
    <xf numFmtId="0" fontId="29" fillId="53" borderId="20" xfId="0" applyNumberFormat="1" applyFont="1" applyFill="1" applyBorder="1" applyAlignment="1" applyProtection="1">
      <alignment horizontal="right" vertical="center"/>
      <protection/>
    </xf>
    <xf numFmtId="0" fontId="29" fillId="0" borderId="20" xfId="0" applyNumberFormat="1" applyFont="1" applyFill="1" applyBorder="1" applyAlignment="1" applyProtection="1">
      <alignment horizontal="right" vertical="center"/>
      <protection/>
    </xf>
    <xf numFmtId="3" fontId="10" fillId="0" borderId="20" xfId="135" applyNumberFormat="1" applyFont="1" applyFill="1" applyBorder="1" applyAlignment="1" applyProtection="1">
      <alignment horizontal="center" vertical="center"/>
      <protection/>
    </xf>
    <xf numFmtId="3" fontId="29" fillId="47" borderId="21" xfId="0" applyNumberFormat="1" applyFont="1" applyFill="1" applyBorder="1" applyAlignment="1" applyProtection="1">
      <alignment horizontal="right" vertical="center"/>
      <protection/>
    </xf>
    <xf numFmtId="49" fontId="29" fillId="0" borderId="20" xfId="0" applyNumberFormat="1" applyFont="1" applyFill="1" applyBorder="1" applyAlignment="1" applyProtection="1">
      <alignment vertical="center"/>
      <protection locked="0"/>
    </xf>
    <xf numFmtId="49" fontId="29" fillId="0" borderId="21" xfId="0" applyNumberFormat="1" applyFont="1" applyFill="1" applyBorder="1" applyAlignment="1" applyProtection="1">
      <alignment vertical="center"/>
      <protection locked="0"/>
    </xf>
    <xf numFmtId="3" fontId="29" fillId="47" borderId="20" xfId="0" applyNumberFormat="1" applyFont="1" applyFill="1" applyBorder="1" applyAlignment="1">
      <alignment horizontal="right"/>
    </xf>
    <xf numFmtId="3" fontId="29" fillId="47" borderId="21" xfId="148" applyNumberFormat="1" applyFont="1" applyFill="1" applyBorder="1" applyAlignment="1" applyProtection="1">
      <alignment horizontal="right" vertical="center"/>
      <protection/>
    </xf>
    <xf numFmtId="3" fontId="29" fillId="47" borderId="21" xfId="0" applyNumberFormat="1" applyFont="1" applyFill="1" applyBorder="1" applyAlignment="1">
      <alignment horizontal="right" vertical="center"/>
    </xf>
    <xf numFmtId="49" fontId="29" fillId="0" borderId="20" xfId="138" applyNumberFormat="1" applyFont="1" applyFill="1" applyBorder="1" applyAlignment="1" applyProtection="1">
      <alignment vertical="center"/>
      <protection locked="0"/>
    </xf>
    <xf numFmtId="3" fontId="29" fillId="47" borderId="20" xfId="149" applyNumberFormat="1" applyFont="1" applyFill="1" applyBorder="1" applyAlignment="1" applyProtection="1">
      <alignment horizontal="right" vertical="center"/>
      <protection locked="0"/>
    </xf>
    <xf numFmtId="3" fontId="29" fillId="53" borderId="20" xfId="0" applyNumberFormat="1" applyFont="1" applyFill="1" applyBorder="1" applyAlignment="1" applyProtection="1">
      <alignment horizontal="right"/>
      <protection/>
    </xf>
    <xf numFmtId="202" fontId="132" fillId="0" borderId="20" xfId="93" applyNumberFormat="1" applyFont="1" applyFill="1" applyBorder="1" applyAlignment="1" applyProtection="1">
      <alignment vertical="center"/>
      <protection/>
    </xf>
    <xf numFmtId="3" fontId="132" fillId="47" borderId="20" xfId="0" applyNumberFormat="1" applyFont="1" applyFill="1" applyBorder="1" applyAlignment="1" applyProtection="1">
      <alignment horizontal="center" vertical="center"/>
      <protection locked="0"/>
    </xf>
    <xf numFmtId="202" fontId="132" fillId="0" borderId="20" xfId="93" applyNumberFormat="1" applyFont="1" applyFill="1" applyBorder="1" applyAlignment="1" applyProtection="1">
      <alignment horizontal="right" vertical="center"/>
      <protection/>
    </xf>
    <xf numFmtId="3" fontId="139" fillId="47" borderId="20" xfId="0" applyNumberFormat="1" applyFont="1" applyFill="1" applyBorder="1" applyAlignment="1" applyProtection="1">
      <alignment horizontal="right" vertical="center"/>
      <protection/>
    </xf>
    <xf numFmtId="3" fontId="139" fillId="47" borderId="20" xfId="148" applyNumberFormat="1" applyFont="1" applyFill="1" applyBorder="1" applyAlignment="1" applyProtection="1">
      <alignment horizontal="right" vertical="center"/>
      <protection/>
    </xf>
    <xf numFmtId="3" fontId="139" fillId="47" borderId="20" xfId="0" applyNumberFormat="1" applyFont="1" applyFill="1" applyBorder="1" applyAlignment="1">
      <alignment horizontal="right"/>
    </xf>
    <xf numFmtId="3" fontId="29" fillId="47" borderId="20" xfId="0" applyNumberFormat="1" applyFont="1" applyFill="1" applyBorder="1" applyAlignment="1" applyProtection="1">
      <alignment horizontal="center" vertical="center"/>
      <protection/>
    </xf>
    <xf numFmtId="3" fontId="5" fillId="47" borderId="20" xfId="0" applyNumberFormat="1" applyFont="1" applyFill="1" applyBorder="1" applyAlignment="1" applyProtection="1">
      <alignment horizontal="center" vertical="center"/>
      <protection/>
    </xf>
    <xf numFmtId="3" fontId="1" fillId="47" borderId="20" xfId="0" applyNumberFormat="1" applyFont="1" applyFill="1" applyBorder="1" applyAlignment="1" applyProtection="1">
      <alignment horizontal="right" vertical="center"/>
      <protection/>
    </xf>
    <xf numFmtId="3" fontId="3" fillId="47" borderId="20" xfId="0" applyNumberFormat="1" applyFont="1" applyFill="1" applyBorder="1" applyAlignment="1" applyProtection="1">
      <alignment horizontal="right" vertical="center"/>
      <protection/>
    </xf>
    <xf numFmtId="3" fontId="1" fillId="47" borderId="20" xfId="148" applyNumberFormat="1" applyFont="1" applyFill="1" applyBorder="1" applyAlignment="1" applyProtection="1">
      <alignment horizontal="right" vertical="center"/>
      <protection/>
    </xf>
    <xf numFmtId="3" fontId="10" fillId="53" borderId="20" xfId="0" applyNumberFormat="1" applyFont="1" applyFill="1" applyBorder="1" applyAlignment="1" applyProtection="1">
      <alignment horizontal="right" vertical="center"/>
      <protection/>
    </xf>
    <xf numFmtId="3" fontId="10" fillId="0" borderId="20" xfId="0" applyNumberFormat="1" applyFont="1" applyFill="1" applyBorder="1" applyAlignment="1" applyProtection="1">
      <alignment horizontal="right" vertical="center"/>
      <protection locked="0"/>
    </xf>
    <xf numFmtId="3" fontId="10" fillId="0" borderId="20" xfId="148" applyNumberFormat="1" applyFont="1" applyFill="1" applyBorder="1" applyAlignment="1" applyProtection="1">
      <alignment horizontal="right" vertical="center"/>
      <protection locked="0"/>
    </xf>
    <xf numFmtId="3" fontId="74" fillId="0" borderId="20" xfId="0" applyNumberFormat="1" applyFont="1" applyFill="1" applyBorder="1" applyAlignment="1" applyProtection="1">
      <alignment horizontal="right" vertical="center"/>
      <protection/>
    </xf>
    <xf numFmtId="221" fontId="10" fillId="47" borderId="21" xfId="0" applyNumberFormat="1" applyFont="1" applyFill="1" applyBorder="1" applyAlignment="1" applyProtection="1">
      <alignment/>
      <protection locked="0"/>
    </xf>
    <xf numFmtId="221" fontId="10" fillId="47" borderId="23" xfId="0" applyNumberFormat="1" applyFont="1" applyFill="1" applyBorder="1" applyAlignment="1" applyProtection="1">
      <alignment/>
      <protection locked="0"/>
    </xf>
    <xf numFmtId="221" fontId="10" fillId="47" borderId="21" xfId="0" applyNumberFormat="1" applyFont="1" applyFill="1" applyBorder="1" applyAlignment="1" applyProtection="1">
      <alignment horizontal="right" vertical="center"/>
      <protection locked="0"/>
    </xf>
    <xf numFmtId="221" fontId="10" fillId="47" borderId="23" xfId="0" applyNumberFormat="1" applyFont="1" applyFill="1" applyBorder="1" applyAlignment="1" applyProtection="1">
      <alignment horizontal="right" vertical="center"/>
      <protection locked="0"/>
    </xf>
    <xf numFmtId="221" fontId="10" fillId="50" borderId="21" xfId="0" applyNumberFormat="1" applyFont="1" applyFill="1" applyBorder="1" applyAlignment="1" applyProtection="1">
      <alignment/>
      <protection locked="0"/>
    </xf>
    <xf numFmtId="221" fontId="10" fillId="50" borderId="21" xfId="0" applyNumberFormat="1" applyFont="1" applyFill="1" applyBorder="1" applyAlignment="1" applyProtection="1">
      <alignment horizontal="right"/>
      <protection locked="0"/>
    </xf>
    <xf numFmtId="221" fontId="10" fillId="50" borderId="20" xfId="0" applyNumberFormat="1" applyFont="1" applyFill="1" applyBorder="1" applyAlignment="1" applyProtection="1">
      <alignment horizontal="right"/>
      <protection locked="0"/>
    </xf>
    <xf numFmtId="221" fontId="10" fillId="51" borderId="21" xfId="0" applyNumberFormat="1" applyFont="1" applyFill="1" applyBorder="1" applyAlignment="1" applyProtection="1">
      <alignment horizontal="right"/>
      <protection locked="0"/>
    </xf>
    <xf numFmtId="221" fontId="10" fillId="51" borderId="20" xfId="0" applyNumberFormat="1" applyFont="1" applyFill="1" applyBorder="1" applyAlignment="1" applyProtection="1">
      <alignment horizontal="right"/>
      <protection locked="0"/>
    </xf>
    <xf numFmtId="202" fontId="40" fillId="0" borderId="20" xfId="93" applyNumberFormat="1" applyFont="1" applyBorder="1" applyAlignment="1">
      <alignment horizontal="center"/>
    </xf>
    <xf numFmtId="202" fontId="40" fillId="11" borderId="20" xfId="93" applyNumberFormat="1" applyFont="1" applyFill="1" applyBorder="1" applyAlignment="1">
      <alignment/>
    </xf>
    <xf numFmtId="202" fontId="40" fillId="11" borderId="23" xfId="93" applyNumberFormat="1" applyFont="1" applyFill="1" applyBorder="1" applyAlignment="1">
      <alignment/>
    </xf>
    <xf numFmtId="202" fontId="0" fillId="11" borderId="23" xfId="93" applyNumberFormat="1" applyFont="1" applyFill="1" applyBorder="1" applyAlignment="1">
      <alignment/>
    </xf>
    <xf numFmtId="3" fontId="22" fillId="47" borderId="20" xfId="0" applyNumberFormat="1" applyFont="1" applyFill="1" applyBorder="1" applyAlignment="1" applyProtection="1">
      <alignment/>
      <protection locked="0"/>
    </xf>
    <xf numFmtId="3" fontId="7" fillId="47" borderId="20" xfId="0" applyNumberFormat="1" applyFont="1" applyFill="1" applyBorder="1" applyAlignment="1" applyProtection="1">
      <alignment/>
      <protection locked="0"/>
    </xf>
    <xf numFmtId="3" fontId="71" fillId="47" borderId="20" xfId="0" applyNumberFormat="1" applyFont="1" applyFill="1" applyBorder="1" applyAlignment="1" applyProtection="1">
      <alignment/>
      <protection locked="0"/>
    </xf>
    <xf numFmtId="3" fontId="7" fillId="0" borderId="21" xfId="0" applyNumberFormat="1" applyFont="1" applyBorder="1" applyAlignment="1">
      <alignment/>
    </xf>
    <xf numFmtId="221" fontId="10" fillId="47" borderId="21" xfId="0" applyNumberFormat="1" applyFont="1" applyFill="1" applyBorder="1" applyAlignment="1" applyProtection="1">
      <alignment horizontal="center" vertical="center"/>
      <protection locked="0"/>
    </xf>
    <xf numFmtId="49" fontId="0" fillId="0" borderId="20" xfId="0" applyNumberFormat="1" applyFill="1" applyBorder="1" applyAlignment="1">
      <alignment horizontal="center"/>
    </xf>
    <xf numFmtId="218" fontId="121" fillId="52" borderId="20" xfId="0" applyNumberFormat="1" applyFont="1" applyFill="1" applyBorder="1" applyAlignment="1">
      <alignment vertical="center"/>
    </xf>
    <xf numFmtId="218" fontId="14" fillId="52" borderId="20" xfId="93" applyNumberFormat="1" applyFont="1" applyFill="1" applyBorder="1" applyAlignment="1">
      <alignment vertical="center"/>
    </xf>
    <xf numFmtId="49" fontId="10" fillId="52" borderId="20" xfId="0" applyNumberFormat="1" applyFont="1" applyFill="1" applyBorder="1" applyAlignment="1">
      <alignment horizontal="left"/>
    </xf>
    <xf numFmtId="218" fontId="11" fillId="52" borderId="20" xfId="140" applyNumberFormat="1" applyFont="1" applyFill="1" applyBorder="1" applyAlignment="1">
      <alignment horizontal="right"/>
      <protection/>
    </xf>
    <xf numFmtId="218" fontId="87" fillId="52" borderId="20" xfId="140" applyNumberFormat="1" applyFont="1" applyFill="1" applyBorder="1" applyAlignment="1">
      <alignment horizontal="right"/>
      <protection/>
    </xf>
    <xf numFmtId="0" fontId="10" fillId="52" borderId="20" xfId="141" applyFont="1" applyFill="1" applyBorder="1" applyAlignment="1">
      <alignment horizontal="center" vertical="center"/>
      <protection/>
    </xf>
    <xf numFmtId="49" fontId="34" fillId="0" borderId="0" xfId="0" applyNumberFormat="1" applyFont="1" applyAlignment="1">
      <alignment horizontal="right"/>
    </xf>
    <xf numFmtId="221" fontId="11" fillId="50" borderId="20" xfId="0" applyNumberFormat="1" applyFont="1" applyFill="1" applyBorder="1" applyAlignment="1" applyProtection="1">
      <alignment/>
      <protection/>
    </xf>
    <xf numFmtId="49" fontId="17" fillId="0" borderId="0" xfId="0" applyNumberFormat="1" applyFont="1" applyFill="1" applyBorder="1" applyAlignment="1">
      <alignment horizontal="center"/>
    </xf>
    <xf numFmtId="2" fontId="11" fillId="0" borderId="0" xfId="0" applyNumberFormat="1" applyFont="1" applyFill="1" applyBorder="1" applyAlignment="1">
      <alignment horizontal="left" wrapText="1"/>
    </xf>
    <xf numFmtId="10" fontId="0" fillId="0" borderId="0" xfId="131" applyNumberFormat="1" applyFont="1" applyFill="1" applyBorder="1" applyAlignment="1">
      <alignment horizontal="right" vertical="center"/>
      <protection/>
    </xf>
    <xf numFmtId="49" fontId="17" fillId="0" borderId="0" xfId="0" applyNumberFormat="1" applyFont="1" applyFill="1" applyBorder="1" applyAlignment="1">
      <alignment horizontal="center" wrapText="1"/>
    </xf>
    <xf numFmtId="2" fontId="17" fillId="0" borderId="0" xfId="0" applyNumberFormat="1" applyFont="1" applyFill="1" applyBorder="1" applyAlignment="1">
      <alignment horizontal="left" wrapText="1"/>
    </xf>
    <xf numFmtId="10" fontId="12" fillId="0" borderId="0" xfId="131" applyNumberFormat="1" applyFont="1" applyFill="1" applyBorder="1" applyAlignment="1">
      <alignment horizontal="right" vertical="center"/>
      <protection/>
    </xf>
    <xf numFmtId="10" fontId="8" fillId="0" borderId="0" xfId="131" applyNumberFormat="1" applyFont="1" applyFill="1" applyBorder="1" applyAlignment="1">
      <alignment horizontal="right" vertical="center"/>
      <protection/>
    </xf>
    <xf numFmtId="218" fontId="10" fillId="0" borderId="20" xfId="0" applyNumberFormat="1" applyFont="1" applyFill="1" applyBorder="1" applyAlignment="1" applyProtection="1">
      <alignment horizontal="right" vertical="center"/>
      <protection locked="0"/>
    </xf>
    <xf numFmtId="3" fontId="25" fillId="47" borderId="21" xfId="130" applyNumberFormat="1" applyFont="1" applyFill="1" applyBorder="1" applyProtection="1">
      <alignment/>
      <protection locked="0"/>
    </xf>
    <xf numFmtId="3" fontId="25" fillId="47" borderId="20" xfId="130" applyNumberFormat="1" applyFont="1" applyFill="1" applyBorder="1" applyProtection="1">
      <alignment/>
      <protection locked="0"/>
    </xf>
    <xf numFmtId="3" fontId="25" fillId="47" borderId="23" xfId="130" applyNumberFormat="1" applyFont="1" applyFill="1" applyBorder="1" applyProtection="1">
      <alignment/>
      <protection locked="0"/>
    </xf>
    <xf numFmtId="202" fontId="11" fillId="0" borderId="20" xfId="93" applyNumberFormat="1" applyFont="1" applyFill="1" applyBorder="1" applyAlignment="1" applyProtection="1">
      <alignment horizontal="right" vertical="center" wrapText="1"/>
      <protection/>
    </xf>
    <xf numFmtId="49" fontId="35" fillId="47" borderId="20" xfId="0" applyNumberFormat="1" applyFont="1" applyFill="1" applyBorder="1" applyAlignment="1" applyProtection="1">
      <alignment horizontal="left" vertical="center"/>
      <protection locked="0"/>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3"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49" fontId="36" fillId="0" borderId="0" xfId="136" applyNumberFormat="1" applyFont="1" applyBorder="1" applyAlignment="1">
      <alignment horizontal="center" wrapText="1"/>
      <protection/>
    </xf>
    <xf numFmtId="0" fontId="60" fillId="3" borderId="26" xfId="136" applyNumberFormat="1" applyFont="1" applyFill="1" applyBorder="1" applyAlignment="1">
      <alignment horizontal="center" vertical="center" wrapText="1"/>
      <protection/>
    </xf>
    <xf numFmtId="0" fontId="60" fillId="3" borderId="25" xfId="136" applyNumberFormat="1" applyFont="1" applyFill="1" applyBorder="1" applyAlignment="1">
      <alignment horizontal="center" vertic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0" fontId="21" fillId="0" borderId="20" xfId="136" applyNumberFormat="1" applyFont="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2" xfId="136" applyNumberFormat="1" applyFont="1" applyBorder="1" applyAlignment="1">
      <alignment horizontal="center" vertical="center" wrapText="1"/>
      <protection/>
    </xf>
    <xf numFmtId="49" fontId="12" fillId="0" borderId="26" xfId="136" applyNumberFormat="1" applyFont="1" applyBorder="1" applyAlignment="1">
      <alignment horizontal="center" vertical="center" wrapText="1"/>
      <protection/>
    </xf>
    <xf numFmtId="49" fontId="12" fillId="0" borderId="43"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38" fillId="0" borderId="0" xfId="136" applyNumberFormat="1" applyFont="1" applyAlignment="1">
      <alignment horizontal="center"/>
      <protection/>
    </xf>
    <xf numFmtId="49" fontId="0" fillId="0" borderId="0" xfId="136" applyNumberFormat="1" applyFont="1" applyAlignment="1">
      <alignment horizontal="left"/>
      <protection/>
    </xf>
    <xf numFmtId="49" fontId="7"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9" fillId="47" borderId="40" xfId="136" applyNumberFormat="1" applyFont="1" applyFill="1" applyBorder="1" applyAlignment="1" applyProtection="1">
      <alignment horizontal="center" vertical="center" wrapText="1"/>
      <protection/>
    </xf>
    <xf numFmtId="3" fontId="39"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0" fillId="0" borderId="0" xfId="136" applyNumberFormat="1" applyFont="1" applyBorder="1" applyAlignment="1">
      <alignment horizontal="center" wrapText="1"/>
      <protection/>
    </xf>
    <xf numFmtId="49" fontId="45" fillId="0" borderId="0" xfId="136" applyNumberFormat="1" applyFont="1" applyBorder="1" applyAlignment="1">
      <alignment horizontal="center" wrapText="1"/>
      <protection/>
    </xf>
    <xf numFmtId="49" fontId="0" fillId="0" borderId="0" xfId="136" applyNumberFormat="1" applyFont="1" applyBorder="1" applyAlignment="1">
      <alignment horizontal="left"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6"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3"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2"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0"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2" fillId="3" borderId="26" xfId="136" applyNumberFormat="1" applyFont="1" applyFill="1" applyBorder="1" applyAlignment="1">
      <alignment horizontal="center" vertical="center" wrapText="1"/>
      <protection/>
    </xf>
    <xf numFmtId="49" fontId="72" fillId="3" borderId="25"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 fillId="0" borderId="0" xfId="136" applyNumberFormat="1" applyFont="1" applyAlignment="1">
      <alignment horizontal="left" wrapText="1"/>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2"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60" fillId="3" borderId="26" xfId="136" applyNumberFormat="1" applyFont="1" applyFill="1" applyBorder="1" applyAlignment="1">
      <alignment horizontal="center" wrapText="1"/>
      <protection/>
    </xf>
    <xf numFmtId="49" fontId="60" fillId="3" borderId="25" xfId="136" applyNumberFormat="1" applyFont="1" applyFill="1" applyBorder="1" applyAlignment="1">
      <alignment horizontal="center" wrapText="1"/>
      <protection/>
    </xf>
    <xf numFmtId="49" fontId="36"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7" fillId="0" borderId="20" xfId="136" applyNumberFormat="1" applyFont="1" applyFill="1" applyBorder="1" applyAlignment="1">
      <alignment horizontal="center" vertical="center" wrapText="1"/>
      <protection/>
    </xf>
    <xf numFmtId="49" fontId="81" fillId="4" borderId="21" xfId="140" applyNumberFormat="1" applyFont="1" applyFill="1" applyBorder="1" applyAlignment="1">
      <alignment horizontal="center" vertical="center" wrapText="1"/>
      <protection/>
    </xf>
    <xf numFmtId="49" fontId="81" fillId="4" borderId="40" xfId="140" applyNumberFormat="1" applyFont="1" applyFill="1" applyBorder="1" applyAlignment="1">
      <alignment horizontal="center" vertical="center" wrapText="1"/>
      <protection/>
    </xf>
    <xf numFmtId="49" fontId="81"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9" fillId="0" borderId="26" xfId="140" applyNumberFormat="1" applyFont="1" applyBorder="1" applyAlignment="1">
      <alignment horizontal="center" vertical="center" wrapText="1"/>
      <protection/>
    </xf>
    <xf numFmtId="49" fontId="89" fillId="0" borderId="25" xfId="140" applyNumberFormat="1" applyFont="1" applyBorder="1" applyAlignment="1">
      <alignment horizontal="center" vertical="center" wrapText="1"/>
      <protection/>
    </xf>
    <xf numFmtId="49" fontId="36" fillId="0" borderId="0" xfId="140" applyNumberFormat="1" applyFont="1" applyBorder="1" applyAlignment="1">
      <alignment horizontal="center" wrapText="1"/>
      <protection/>
    </xf>
    <xf numFmtId="49" fontId="11" fillId="0" borderId="43"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6" fillId="0" borderId="0" xfId="140" applyNumberFormat="1" applyFont="1" applyBorder="1" applyAlignment="1">
      <alignment horizontal="center"/>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6"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2"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8"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0" fontId="93"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0" fontId="11" fillId="0" borderId="20" xfId="140" applyFont="1" applyBorder="1" applyAlignment="1">
      <alignment horizontal="center" vertical="center"/>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43" xfId="140" applyFont="1" applyBorder="1" applyAlignment="1">
      <alignment horizontal="center" vertical="center"/>
      <protection/>
    </xf>
    <xf numFmtId="0" fontId="11" fillId="0" borderId="25" xfId="140" applyFont="1" applyBorder="1" applyAlignment="1">
      <alignment horizontal="center" vertical="center"/>
      <protection/>
    </xf>
    <xf numFmtId="0" fontId="72" fillId="3" borderId="26" xfId="140" applyFont="1" applyFill="1" applyBorder="1" applyAlignment="1">
      <alignment horizontal="center" vertical="center" wrapText="1"/>
      <protection/>
    </xf>
    <xf numFmtId="0" fontId="72" fillId="3" borderId="25" xfId="140" applyFont="1" applyFill="1" applyBorder="1" applyAlignment="1">
      <alignment horizontal="center" vertical="center" wrapText="1"/>
      <protection/>
    </xf>
    <xf numFmtId="0" fontId="36" fillId="0" borderId="0" xfId="140" applyNumberFormat="1" applyFont="1" applyBorder="1" applyAlignment="1">
      <alignment horizontal="center"/>
      <protection/>
    </xf>
    <xf numFmtId="0" fontId="36" fillId="0" borderId="0" xfId="140" applyFont="1" applyBorder="1" applyAlignment="1">
      <alignment horizontal="center" wrapText="1"/>
      <protection/>
    </xf>
    <xf numFmtId="0" fontId="30" fillId="0" borderId="0" xfId="140" applyFont="1" applyBorder="1" applyAlignment="1">
      <alignment horizont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30" fillId="0" borderId="0" xfId="140" applyNumberFormat="1" applyFont="1" applyBorder="1" applyAlignment="1">
      <alignment horizont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8"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2" xfId="140" applyFont="1" applyBorder="1" applyAlignment="1">
      <alignment horizontal="center" vertical="center" wrapText="1"/>
      <protection/>
    </xf>
    <xf numFmtId="0" fontId="18" fillId="0" borderId="22" xfId="140" applyFont="1" applyBorder="1" applyAlignment="1">
      <alignment horizontal="left"/>
      <protection/>
    </xf>
    <xf numFmtId="3" fontId="0" fillId="47" borderId="0" xfId="140" applyNumberFormat="1" applyFont="1" applyFill="1" applyBorder="1" applyAlignment="1">
      <alignment horizontal="left"/>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1" fillId="0" borderId="26" xfId="140" applyFont="1" applyBorder="1" applyAlignment="1">
      <alignment horizontal="center" vertical="center"/>
      <protection/>
    </xf>
    <xf numFmtId="49" fontId="24" fillId="0" borderId="22" xfId="140" applyNumberFormat="1" applyFont="1" applyBorder="1" applyAlignment="1">
      <alignment horizontal="center"/>
      <protection/>
    </xf>
    <xf numFmtId="49" fontId="79"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84"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2" fillId="3" borderId="26" xfId="140" applyNumberFormat="1" applyFont="1" applyFill="1" applyBorder="1" applyAlignment="1">
      <alignment horizontal="center" vertical="center" wrapText="1"/>
      <protection/>
    </xf>
    <xf numFmtId="49" fontId="82" fillId="3" borderId="25" xfId="140" applyNumberFormat="1" applyFont="1" applyFill="1" applyBorder="1" applyAlignment="1">
      <alignment horizontal="center" vertical="center" wrapText="1"/>
      <protection/>
    </xf>
    <xf numFmtId="49" fontId="80" fillId="3" borderId="26" xfId="140" applyNumberFormat="1" applyFont="1" applyFill="1" applyBorder="1" applyAlignment="1">
      <alignment horizontal="center" vertical="center" wrapText="1"/>
      <protection/>
    </xf>
    <xf numFmtId="49" fontId="80"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36" fillId="0" borderId="0" xfId="140" applyNumberFormat="1" applyFont="1" applyBorder="1" applyAlignment="1">
      <alignment horizontal="left" wrapText="1"/>
      <protection/>
    </xf>
    <xf numFmtId="49" fontId="23" fillId="0" borderId="22" xfId="140" applyNumberFormat="1" applyFont="1" applyBorder="1" applyAlignment="1">
      <alignment horizontal="left"/>
      <protection/>
    </xf>
    <xf numFmtId="49" fontId="11" fillId="0" borderId="43"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94" fillId="3" borderId="26" xfId="140" applyNumberFormat="1" applyFont="1" applyFill="1" applyBorder="1" applyAlignment="1">
      <alignment horizontal="center" vertical="center" wrapText="1"/>
      <protection/>
    </xf>
    <xf numFmtId="49" fontId="94" fillId="3" borderId="25"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18" fillId="0" borderId="22"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49" fontId="11" fillId="0" borderId="43" xfId="140" applyNumberFormat="1" applyFont="1" applyFill="1" applyBorder="1" applyAlignment="1">
      <alignment horizontal="center" vertical="center" wrapText="1"/>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23" fillId="0" borderId="0" xfId="140" applyNumberFormat="1" applyFont="1" applyFill="1" applyBorder="1" applyAlignment="1">
      <alignment horizontal="left"/>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2" xfId="140" applyNumberFormat="1" applyFont="1" applyFill="1" applyBorder="1" applyAlignment="1">
      <alignment horizontal="center" vertical="center" wrapText="1"/>
      <protection/>
    </xf>
    <xf numFmtId="0" fontId="87" fillId="0" borderId="43" xfId="140" applyFont="1" applyFill="1" applyBorder="1" applyAlignment="1">
      <alignment horizontal="center" vertical="center" wrapText="1"/>
      <protection/>
    </xf>
    <xf numFmtId="0" fontId="87" fillId="0" borderId="25" xfId="140"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34" fillId="0" borderId="0" xfId="140" applyNumberFormat="1" applyFont="1" applyAlignment="1">
      <alignment horizontal="center"/>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94" fillId="3" borderId="26" xfId="140" applyNumberFormat="1" applyFont="1" applyFill="1" applyBorder="1" applyAlignment="1">
      <alignment horizontal="center" vertical="center"/>
      <protection/>
    </xf>
    <xf numFmtId="49" fontId="94" fillId="3" borderId="25" xfId="140" applyNumberFormat="1" applyFont="1" applyFill="1" applyBorder="1" applyAlignment="1">
      <alignment horizontal="center" vertical="center"/>
      <protection/>
    </xf>
    <xf numFmtId="0" fontId="30" fillId="0" borderId="0" xfId="140" applyFont="1" applyAlignment="1">
      <alignment horizontal="center"/>
      <protection/>
    </xf>
    <xf numFmtId="0" fontId="12" fillId="0" borderId="20" xfId="140" applyFont="1" applyFill="1" applyBorder="1" applyAlignment="1">
      <alignment horizontal="center" vertical="center"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2"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23" fillId="0" borderId="0" xfId="140" applyFont="1" applyBorder="1" applyAlignment="1">
      <alignment horizontal="left"/>
      <protection/>
    </xf>
    <xf numFmtId="0" fontId="18" fillId="0" borderId="0" xfId="140" applyFont="1" applyAlignment="1">
      <alignment horizontal="center"/>
      <protection/>
    </xf>
    <xf numFmtId="49" fontId="36" fillId="0" borderId="0" xfId="140" applyNumberFormat="1" applyFont="1" applyBorder="1" applyAlignment="1">
      <alignment horizontal="justify" vertical="justify" wrapText="1"/>
      <protection/>
    </xf>
    <xf numFmtId="0" fontId="19" fillId="0" borderId="0" xfId="140" applyNumberFormat="1" applyFont="1" applyAlignment="1">
      <alignment horizontal="center"/>
      <protection/>
    </xf>
    <xf numFmtId="0" fontId="38" fillId="0" borderId="0" xfId="140" applyNumberFormat="1" applyFont="1" applyAlignment="1">
      <alignment horizontal="center"/>
      <protection/>
    </xf>
    <xf numFmtId="0" fontId="28" fillId="0" borderId="0" xfId="140" applyNumberFormat="1" applyFont="1" applyAlignment="1">
      <alignment horizontal="center"/>
      <protection/>
    </xf>
    <xf numFmtId="49" fontId="30" fillId="47" borderId="44" xfId="0" applyNumberFormat="1" applyFont="1" applyFill="1" applyBorder="1" applyAlignment="1">
      <alignment horizontal="center" vertical="center"/>
    </xf>
    <xf numFmtId="49" fontId="30" fillId="47" borderId="45"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3"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43"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38" fillId="0" borderId="0" xfId="0" applyNumberFormat="1" applyFont="1" applyFill="1" applyAlignment="1">
      <alignment horizont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1" fillId="0" borderId="0" xfId="0" applyNumberFormat="1" applyFont="1" applyFill="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0" fontId="23" fillId="0" borderId="19" xfId="0" applyNumberFormat="1" applyFont="1" applyBorder="1" applyAlignment="1">
      <alignment horizontal="right" wrapText="1"/>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6" fillId="0" borderId="19" xfId="0" applyNumberFormat="1" applyFont="1" applyFill="1" applyBorder="1" applyAlignment="1">
      <alignment horizontal="righ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6" fillId="0" borderId="19" xfId="0" applyNumberFormat="1" applyFont="1" applyFill="1" applyBorder="1" applyAlignment="1">
      <alignment horizontal="right" wrapText="1"/>
    </xf>
    <xf numFmtId="2" fontId="0" fillId="0" borderId="0" xfId="0" applyNumberFormat="1" applyFont="1" applyFill="1" applyBorder="1" applyAlignment="1">
      <alignment horizontal="center"/>
    </xf>
    <xf numFmtId="0" fontId="36" fillId="0" borderId="0" xfId="0" applyNumberFormat="1" applyFont="1" applyFill="1" applyBorder="1" applyAlignment="1">
      <alignment horizontal="right"/>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6" fillId="0" borderId="0" xfId="0" applyFont="1" applyFill="1" applyBorder="1" applyAlignment="1">
      <alignment horizontal="center"/>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8" fillId="0" borderId="0" xfId="0" applyNumberFormat="1" applyFont="1" applyFill="1" applyAlignment="1">
      <alignment horizontal="center" wrapText="1"/>
    </xf>
    <xf numFmtId="0" fontId="8" fillId="0" borderId="0" xfId="0" applyNumberFormat="1" applyFont="1" applyFill="1" applyAlignment="1">
      <alignment horizontal="left"/>
    </xf>
    <xf numFmtId="0" fontId="36" fillId="0" borderId="19" xfId="0" applyFont="1" applyFill="1" applyBorder="1" applyAlignment="1">
      <alignment horizontal="center" wrapText="1"/>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0" fontId="34" fillId="0" borderId="0"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wrapText="1"/>
    </xf>
    <xf numFmtId="49" fontId="12" fillId="0" borderId="21" xfId="0" applyNumberFormat="1" applyFont="1" applyFill="1" applyBorder="1" applyAlignment="1" applyProtection="1">
      <alignment horizontal="center" vertical="center" wrapText="1"/>
      <protection/>
    </xf>
    <xf numFmtId="49" fontId="12" fillId="0" borderId="40" xfId="0" applyNumberFormat="1" applyFont="1" applyFill="1" applyBorder="1" applyAlignment="1" applyProtection="1">
      <alignment horizontal="center" vertical="center" wrapText="1"/>
      <protection/>
    </xf>
    <xf numFmtId="49" fontId="12" fillId="0" borderId="23" xfId="0" applyNumberFormat="1" applyFont="1" applyFill="1" applyBorder="1" applyAlignment="1" applyProtection="1">
      <alignment horizontal="center" vertical="center" wrapText="1"/>
      <protection/>
    </xf>
    <xf numFmtId="49" fontId="12" fillId="0" borderId="26" xfId="0" applyNumberFormat="1" applyFont="1" applyFill="1" applyBorder="1" applyAlignment="1" applyProtection="1">
      <alignment horizontal="center" vertical="center" wrapText="1"/>
      <protection/>
    </xf>
    <xf numFmtId="49" fontId="12" fillId="0" borderId="43" xfId="0" applyNumberFormat="1" applyFont="1" applyFill="1" applyBorder="1" applyAlignment="1" applyProtection="1">
      <alignment horizontal="center" vertical="center" wrapText="1"/>
      <protection/>
    </xf>
    <xf numFmtId="49" fontId="12" fillId="0" borderId="25" xfId="0" applyNumberFormat="1" applyFont="1" applyFill="1" applyBorder="1" applyAlignment="1" applyProtection="1">
      <alignment horizontal="center" vertical="center" wrapText="1"/>
      <protection/>
    </xf>
    <xf numFmtId="0" fontId="38" fillId="0" borderId="0" xfId="0" applyNumberFormat="1" applyFont="1" applyFill="1" applyAlignment="1">
      <alignment horizontal="center"/>
    </xf>
    <xf numFmtId="49" fontId="12" fillId="0" borderId="21" xfId="0" applyNumberFormat="1" applyFont="1" applyFill="1" applyBorder="1" applyAlignment="1">
      <alignment vertical="center" wrapText="1"/>
    </xf>
    <xf numFmtId="49" fontId="12" fillId="0" borderId="40" xfId="0" applyNumberFormat="1" applyFont="1" applyFill="1" applyBorder="1" applyAlignment="1">
      <alignment vertical="center" wrapText="1"/>
    </xf>
    <xf numFmtId="49" fontId="12" fillId="0" borderId="23" xfId="0" applyNumberFormat="1" applyFont="1" applyFill="1" applyBorder="1" applyAlignment="1">
      <alignment vertical="center" wrapText="1"/>
    </xf>
    <xf numFmtId="49" fontId="12" fillId="0" borderId="40"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xf>
    <xf numFmtId="1" fontId="12" fillId="0" borderId="43"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49" fontId="12" fillId="0" borderId="46"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202" fontId="23" fillId="0" borderId="19" xfId="93" applyNumberFormat="1" applyFont="1" applyFill="1" applyBorder="1" applyAlignment="1" applyProtection="1">
      <alignment horizontal="center" vertical="center"/>
      <protection/>
    </xf>
    <xf numFmtId="49" fontId="8" fillId="0" borderId="26"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center" vertical="center" wrapText="1"/>
      <protection/>
    </xf>
    <xf numFmtId="49" fontId="8" fillId="0" borderId="43" xfId="0" applyNumberFormat="1" applyFont="1" applyFill="1" applyBorder="1" applyAlignment="1" applyProtection="1">
      <alignment horizontal="center" vertical="center" wrapText="1"/>
      <protection/>
    </xf>
    <xf numFmtId="49" fontId="21" fillId="0" borderId="46"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0" fontId="17" fillId="0" borderId="47" xfId="0" applyNumberFormat="1" applyFont="1" applyFill="1" applyBorder="1" applyAlignment="1">
      <alignment horizontal="center" vertical="center" wrapText="1"/>
    </xf>
    <xf numFmtId="0" fontId="17" fillId="0" borderId="48" xfId="0" applyNumberFormat="1" applyFont="1" applyFill="1" applyBorder="1" applyAlignment="1">
      <alignment horizontal="center" vertical="center" wrapText="1"/>
    </xf>
    <xf numFmtId="0" fontId="17" fillId="0" borderId="39"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49" fontId="109" fillId="0" borderId="49" xfId="0" applyNumberFormat="1" applyFont="1" applyFill="1" applyBorder="1" applyAlignment="1">
      <alignment horizontal="center"/>
    </xf>
    <xf numFmtId="49" fontId="29" fillId="0" borderId="20" xfId="0" applyNumberFormat="1" applyFont="1" applyFill="1" applyBorder="1" applyAlignment="1" applyProtection="1">
      <alignment horizontal="center" vertical="center" wrapText="1"/>
      <protection/>
    </xf>
    <xf numFmtId="202" fontId="28" fillId="0" borderId="0" xfId="93" applyNumberFormat="1" applyFont="1" applyFill="1" applyBorder="1" applyAlignment="1" applyProtection="1">
      <alignment horizontal="left" vertical="center"/>
      <protection/>
    </xf>
    <xf numFmtId="49" fontId="29" fillId="0" borderId="0" xfId="0" applyNumberFormat="1" applyFont="1" applyFill="1" applyAlignment="1">
      <alignment horizontal="left"/>
    </xf>
    <xf numFmtId="0" fontId="109" fillId="0" borderId="0" xfId="0" applyNumberFormat="1" applyFont="1" applyFill="1" applyBorder="1" applyAlignment="1">
      <alignment horizontal="center" wrapText="1"/>
    </xf>
    <xf numFmtId="49" fontId="17" fillId="0" borderId="0" xfId="0" applyNumberFormat="1" applyFont="1" applyFill="1" applyBorder="1" applyAlignment="1">
      <alignment horizontal="left" wrapText="1"/>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0" fillId="0" borderId="0" xfId="0" applyNumberFormat="1" applyFont="1" applyFill="1" applyAlignment="1">
      <alignment horizontal="center"/>
    </xf>
    <xf numFmtId="49" fontId="17" fillId="0" borderId="0" xfId="0" applyNumberFormat="1" applyFont="1" applyFill="1" applyAlignment="1">
      <alignment horizontal="center"/>
    </xf>
    <xf numFmtId="49" fontId="17" fillId="0" borderId="0" xfId="0" applyNumberFormat="1" applyFont="1" applyFill="1" applyAlignment="1">
      <alignment horizontal="center" wrapText="1"/>
    </xf>
    <xf numFmtId="0" fontId="79" fillId="0" borderId="0" xfId="0" applyNumberFormat="1" applyFont="1" applyFill="1" applyAlignment="1">
      <alignment horizontal="center"/>
    </xf>
    <xf numFmtId="49" fontId="17" fillId="0" borderId="48" xfId="0" applyNumberFormat="1" applyFont="1" applyFill="1" applyBorder="1" applyAlignment="1">
      <alignment horizontal="center" vertical="center" wrapText="1"/>
    </xf>
    <xf numFmtId="1" fontId="17" fillId="0" borderId="48" xfId="0" applyNumberFormat="1" applyFont="1" applyFill="1" applyBorder="1" applyAlignment="1">
      <alignment horizontal="center" vertical="center"/>
    </xf>
    <xf numFmtId="49" fontId="17" fillId="0" borderId="48" xfId="0" applyNumberFormat="1" applyFont="1" applyFill="1" applyBorder="1" applyAlignment="1" applyProtection="1">
      <alignment horizontal="center" vertical="center" wrapText="1"/>
      <protection/>
    </xf>
    <xf numFmtId="49" fontId="17" fillId="0" borderId="20" xfId="0" applyNumberFormat="1" applyFont="1" applyFill="1" applyBorder="1" applyAlignment="1" applyProtection="1">
      <alignment horizontal="center" vertical="center" wrapText="1"/>
      <protection/>
    </xf>
    <xf numFmtId="0" fontId="17" fillId="0" borderId="0" xfId="0" applyNumberFormat="1" applyFont="1" applyFill="1" applyBorder="1" applyAlignment="1">
      <alignment horizontal="left" wrapText="1"/>
    </xf>
    <xf numFmtId="0" fontId="17" fillId="0" borderId="0" xfId="0" applyNumberFormat="1" applyFont="1" applyFill="1" applyBorder="1" applyAlignment="1">
      <alignment horizontal="center" wrapText="1"/>
    </xf>
    <xf numFmtId="49" fontId="79" fillId="0" borderId="39" xfId="0" applyNumberFormat="1" applyFont="1" applyFill="1" applyBorder="1" applyAlignment="1" applyProtection="1">
      <alignment horizontal="center" vertical="center" wrapText="1"/>
      <protection/>
    </xf>
    <xf numFmtId="49" fontId="79" fillId="0" borderId="20" xfId="0" applyNumberFormat="1" applyFont="1" applyFill="1" applyBorder="1" applyAlignment="1" applyProtection="1">
      <alignment horizontal="center" vertical="center" wrapText="1"/>
      <protection/>
    </xf>
    <xf numFmtId="0" fontId="17" fillId="0" borderId="0" xfId="0" applyNumberFormat="1" applyFont="1" applyFill="1" applyBorder="1" applyAlignment="1">
      <alignment horizontal="center" vertical="center"/>
    </xf>
    <xf numFmtId="49" fontId="29" fillId="0" borderId="50" xfId="0" applyNumberFormat="1" applyFont="1" applyFill="1" applyBorder="1" applyAlignment="1" applyProtection="1">
      <alignment horizontal="center" vertical="center" wrapText="1"/>
      <protection/>
    </xf>
    <xf numFmtId="49" fontId="29" fillId="0" borderId="38" xfId="0" applyNumberFormat="1" applyFont="1" applyFill="1" applyBorder="1" applyAlignment="1" applyProtection="1">
      <alignment horizontal="center" vertical="center" wrapText="1"/>
      <protection/>
    </xf>
    <xf numFmtId="0" fontId="29" fillId="0" borderId="0" xfId="0" applyNumberFormat="1" applyFont="1" applyFill="1" applyBorder="1" applyAlignment="1">
      <alignment horizontal="center" vertical="center"/>
    </xf>
    <xf numFmtId="0" fontId="30"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49" fontId="10" fillId="0" borderId="26"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0" fontId="34" fillId="0" borderId="0" xfId="137" applyNumberFormat="1" applyFont="1" applyFill="1" applyAlignment="1">
      <alignment horizont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0" fontId="21" fillId="0" borderId="20"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vertical="center"/>
      <protection/>
    </xf>
    <xf numFmtId="49" fontId="12" fillId="0" borderId="25" xfId="137" applyNumberFormat="1" applyFont="1" applyFill="1" applyBorder="1" applyAlignment="1">
      <alignment horizontal="center" vertical="center"/>
      <protection/>
    </xf>
    <xf numFmtId="0" fontId="36" fillId="0" borderId="0" xfId="137" applyNumberFormat="1" applyFont="1" applyFill="1" applyBorder="1" applyAlignment="1">
      <alignment horizont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9" fillId="0" borderId="0" xfId="137" applyNumberFormat="1" applyFont="1" applyFill="1" applyAlignment="1">
      <alignment horizontal="center" vertical="center" wrapText="1"/>
      <protection/>
    </xf>
    <xf numFmtId="49" fontId="0" fillId="0" borderId="0" xfId="137" applyNumberFormat="1" applyFont="1" applyFill="1" applyAlignment="1">
      <alignment horizontal="left"/>
      <protection/>
    </xf>
    <xf numFmtId="0" fontId="31" fillId="0" borderId="0" xfId="137" applyNumberFormat="1" applyFont="1" applyFill="1" applyBorder="1" applyAlignment="1">
      <alignment horizontal="left" vertical="center" wrapText="1"/>
      <protection/>
    </xf>
    <xf numFmtId="49" fontId="8" fillId="0" borderId="0" xfId="137" applyNumberFormat="1" applyFont="1" applyFill="1" applyBorder="1" applyAlignment="1">
      <alignment horizontal="left" vertical="center" wrapText="1"/>
      <protection/>
    </xf>
    <xf numFmtId="49" fontId="23" fillId="0" borderId="0" xfId="137" applyNumberFormat="1" applyFont="1" applyFill="1" applyAlignment="1">
      <alignment horizontal="left"/>
      <protection/>
    </xf>
    <xf numFmtId="49" fontId="12" fillId="0" borderId="0" xfId="137" applyNumberFormat="1" applyFont="1" applyFill="1" applyBorder="1" applyAlignment="1">
      <alignment horizontal="left" vertical="center" wrapText="1"/>
      <protection/>
    </xf>
    <xf numFmtId="0" fontId="38" fillId="0" borderId="0" xfId="137" applyNumberFormat="1" applyFont="1" applyFill="1" applyAlignment="1">
      <alignment horizontal="center"/>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49" fontId="23" fillId="0" borderId="0" xfId="137" applyNumberFormat="1" applyFont="1" applyFill="1" applyAlignment="1">
      <alignment horizontal="center"/>
      <protection/>
    </xf>
    <xf numFmtId="49" fontId="10" fillId="0" borderId="20" xfId="137" applyNumberFormat="1" applyFont="1" applyFill="1" applyBorder="1" applyAlignment="1">
      <alignment horizontal="center" vertical="center" wrapText="1"/>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2" xfId="137" applyNumberFormat="1" applyFont="1" applyFill="1" applyBorder="1" applyAlignment="1">
      <alignment horizontal="center" vertical="center" wrapText="1"/>
      <protection/>
    </xf>
    <xf numFmtId="49" fontId="10" fillId="0" borderId="40" xfId="137" applyNumberFormat="1" applyFont="1" applyFill="1" applyBorder="1" applyAlignment="1">
      <alignment horizontal="center" vertical="center" wrapText="1"/>
      <protection/>
    </xf>
    <xf numFmtId="49" fontId="10" fillId="0" borderId="43"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7" fillId="0" borderId="0" xfId="137" applyNumberFormat="1" applyFont="1" applyFill="1" applyBorder="1" applyAlignment="1">
      <alignment horizontal="left" wrapText="1"/>
      <protection/>
    </xf>
    <xf numFmtId="0" fontId="27" fillId="0" borderId="22" xfId="137" applyNumberFormat="1" applyFont="1" applyFill="1" applyBorder="1" applyAlignment="1">
      <alignment horizontal="center" vertical="center"/>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11" fillId="0" borderId="0" xfId="137" applyNumberFormat="1" applyFont="1" applyFill="1" applyBorder="1" applyAlignment="1">
      <alignment horizontal="left" wrapText="1"/>
      <protection/>
    </xf>
    <xf numFmtId="0" fontId="10" fillId="0" borderId="0" xfId="137" applyNumberFormat="1" applyFont="1" applyFill="1" applyBorder="1" applyAlignment="1">
      <alignment horizontal="left" wrapText="1"/>
      <protection/>
    </xf>
    <xf numFmtId="49" fontId="27" fillId="0" borderId="0" xfId="137" applyNumberFormat="1" applyFont="1" applyFill="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protection/>
    </xf>
    <xf numFmtId="49" fontId="12" fillId="0"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3" fontId="23" fillId="0" borderId="19" xfId="137" applyNumberFormat="1" applyFont="1" applyFill="1" applyBorder="1" applyAlignment="1">
      <alignment horizontal="center" vertical="center" wrapText="1"/>
      <protection/>
    </xf>
    <xf numFmtId="49" fontId="7" fillId="0" borderId="0" xfId="137" applyNumberFormat="1" applyFont="1" applyFill="1" applyAlignment="1">
      <alignment horizontal="center" vertical="top" wrapText="1"/>
      <protection/>
    </xf>
    <xf numFmtId="49" fontId="10" fillId="0" borderId="26"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10" fillId="0" borderId="22"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20" xfId="137" applyNumberFormat="1" applyFont="1" applyFill="1" applyBorder="1" applyAlignment="1">
      <alignment horizontal="center"/>
      <protection/>
    </xf>
    <xf numFmtId="0" fontId="0" fillId="0" borderId="40" xfId="0" applyBorder="1" applyAlignment="1">
      <alignment horizontal="center" vertical="center" wrapText="1"/>
    </xf>
    <xf numFmtId="0" fontId="0" fillId="0" borderId="23" xfId="0" applyBorder="1" applyAlignment="1">
      <alignment horizontal="center" vertical="center" wrapText="1"/>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20" xfId="137" applyNumberFormat="1" applyFont="1" applyFill="1" applyBorder="1" applyAlignment="1">
      <alignment horizontal="center" wrapText="1"/>
      <protection/>
    </xf>
    <xf numFmtId="49" fontId="12" fillId="0" borderId="20" xfId="137" applyNumberFormat="1" applyFont="1" applyFill="1" applyBorder="1" applyAlignment="1">
      <alignment horizontal="center" vertical="center" wrapText="1"/>
      <protection/>
    </xf>
    <xf numFmtId="0" fontId="36"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8" fillId="0" borderId="20"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vertical="center"/>
      <protection/>
    </xf>
    <xf numFmtId="49" fontId="7" fillId="0" borderId="0" xfId="137" applyNumberFormat="1" applyFont="1" applyFill="1" applyAlignment="1">
      <alignment horizontal="left" wrapText="1"/>
      <protection/>
    </xf>
    <xf numFmtId="49" fontId="23" fillId="0" borderId="22" xfId="137" applyNumberFormat="1" applyFont="1" applyFill="1" applyBorder="1" applyAlignment="1">
      <alignment horizontal="left"/>
      <protection/>
    </xf>
    <xf numFmtId="49" fontId="0" fillId="0" borderId="0" xfId="137" applyNumberFormat="1" applyFont="1" applyFill="1" applyAlignment="1">
      <alignment horizontal="left" wrapText="1"/>
      <protection/>
    </xf>
    <xf numFmtId="49" fontId="0" fillId="0" borderId="0" xfId="137" applyNumberFormat="1" applyFont="1" applyFill="1" applyAlignment="1">
      <alignment/>
      <protection/>
    </xf>
    <xf numFmtId="0" fontId="11"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0" fontId="30" fillId="0" borderId="0" xfId="141" applyNumberFormat="1" applyFont="1" applyFill="1" applyBorder="1" applyAlignment="1">
      <alignment horizontal="center"/>
      <protection/>
    </xf>
    <xf numFmtId="0" fontId="84" fillId="0" borderId="0" xfId="141" applyNumberFormat="1" applyFont="1" applyFill="1" applyAlignment="1">
      <alignment horizontal="center"/>
      <protection/>
    </xf>
    <xf numFmtId="0" fontId="19" fillId="0" borderId="0" xfId="137"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0" fontId="85" fillId="0" borderId="0" xfId="141" applyNumberFormat="1" applyFont="1" applyFill="1" applyAlignment="1">
      <alignment horizontal="center"/>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0" fontId="36" fillId="0" borderId="19" xfId="141" applyNumberFormat="1" applyFont="1" applyFill="1" applyBorder="1" applyAlignment="1">
      <alignment horizontal="center"/>
      <protection/>
    </xf>
    <xf numFmtId="0" fontId="36"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wrapText="1"/>
      <protection/>
    </xf>
    <xf numFmtId="49" fontId="17" fillId="0" borderId="26" xfId="141" applyNumberFormat="1" applyFont="1" applyFill="1" applyBorder="1" applyAlignment="1">
      <alignment horizontal="center" vertical="center" wrapText="1"/>
      <protection/>
    </xf>
    <xf numFmtId="49" fontId="17" fillId="0" borderId="25" xfId="141" applyNumberFormat="1" applyFont="1" applyFill="1" applyBorder="1" applyAlignment="1">
      <alignment horizontal="center" vertical="center" wrapText="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2" xfId="141" applyNumberFormat="1" applyFont="1" applyFill="1" applyBorder="1" applyAlignment="1">
      <alignment horizontal="center" vertical="center" wrapText="1" readingOrder="1"/>
      <protection/>
    </xf>
    <xf numFmtId="49" fontId="7" fillId="0" borderId="0" xfId="141" applyNumberFormat="1" applyFont="1" applyFill="1" applyAlignment="1">
      <alignment horizontal="left"/>
      <protection/>
    </xf>
    <xf numFmtId="49" fontId="19" fillId="0" borderId="0" xfId="141" applyNumberFormat="1" applyFont="1" applyFill="1" applyAlignment="1">
      <alignment horizontal="center" wrapText="1"/>
      <protection/>
    </xf>
    <xf numFmtId="49"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4" fillId="0" borderId="0" xfId="141" applyFont="1" applyFill="1" applyAlignment="1">
      <alignment horizontal="center"/>
      <protection/>
    </xf>
    <xf numFmtId="0" fontId="17" fillId="0" borderId="0" xfId="141" applyFont="1" applyFill="1" applyBorder="1" applyAlignment="1">
      <alignment horizontal="center" wrapText="1"/>
      <protection/>
    </xf>
    <xf numFmtId="0" fontId="30" fillId="0" borderId="0" xfId="141" applyFont="1" applyFill="1" applyBorder="1" applyAlignment="1">
      <alignment horizontal="center" wrapText="1"/>
      <protection/>
    </xf>
    <xf numFmtId="0" fontId="31" fillId="0" borderId="20" xfId="141" applyFont="1" applyFill="1" applyBorder="1" applyAlignment="1">
      <alignment horizontal="center" vertical="center" wrapText="1"/>
      <protection/>
    </xf>
    <xf numFmtId="0" fontId="111" fillId="0" borderId="20" xfId="141" applyFont="1" applyFill="1" applyBorder="1" applyAlignment="1">
      <alignment horizontal="center" vertical="center"/>
      <protection/>
    </xf>
    <xf numFmtId="0" fontId="36" fillId="0" borderId="0" xfId="141" applyFont="1" applyFill="1" applyBorder="1" applyAlignment="1">
      <alignment horizontal="center" wrapText="1"/>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0" fontId="87" fillId="0" borderId="20" xfId="141" applyFont="1" applyFill="1" applyBorder="1" applyAlignment="1">
      <alignment horizontal="center" vertical="center"/>
      <protection/>
    </xf>
    <xf numFmtId="0" fontId="31" fillId="0" borderId="20" xfId="141" applyFont="1" applyFill="1" applyBorder="1" applyAlignment="1">
      <alignment horizontal="center" vertical="center"/>
      <protection/>
    </xf>
    <xf numFmtId="0" fontId="23" fillId="0" borderId="0" xfId="141" applyFont="1" applyFill="1" applyBorder="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2" xfId="141" applyNumberFormat="1" applyFont="1" applyFill="1" applyBorder="1" applyAlignment="1">
      <alignment horizontal="center" vertical="center"/>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0" fillId="0" borderId="0" xfId="141" applyFont="1" applyFill="1" applyAlignment="1">
      <alignment horizontal="left"/>
      <protection/>
    </xf>
    <xf numFmtId="0" fontId="0" fillId="0" borderId="0" xfId="141" applyFont="1" applyFill="1" applyAlignment="1">
      <alignment/>
      <protection/>
    </xf>
    <xf numFmtId="0" fontId="38" fillId="0" borderId="0" xfId="141" applyFont="1" applyFill="1" applyAlignment="1">
      <alignment horizontal="center"/>
      <protection/>
    </xf>
    <xf numFmtId="0" fontId="28" fillId="0" borderId="0" xfId="141" applyFont="1" applyFill="1" applyAlignment="1">
      <alignment horizontal="center"/>
      <protection/>
    </xf>
    <xf numFmtId="0" fontId="7" fillId="0" borderId="0" xfId="141" applyNumberFormat="1" applyFont="1" applyFill="1" applyAlignment="1">
      <alignment horizontal="left"/>
      <protection/>
    </xf>
    <xf numFmtId="0" fontId="7" fillId="0" borderId="0" xfId="141" applyNumberFormat="1" applyFont="1" applyFill="1" applyAlignment="1">
      <alignment horizontal="center" wrapText="1"/>
      <protection/>
    </xf>
    <xf numFmtId="0" fontId="7" fillId="0" borderId="0" xfId="141" applyFont="1" applyFill="1" applyBorder="1" applyAlignment="1">
      <alignment horizontal="left"/>
      <protection/>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49" fontId="30" fillId="0" borderId="0" xfId="141" applyNumberFormat="1" applyFont="1" applyFill="1" applyBorder="1" applyAlignment="1">
      <alignment horizontal="center" wrapText="1"/>
      <protection/>
    </xf>
    <xf numFmtId="49" fontId="36" fillId="0" borderId="0" xfId="141" applyNumberFormat="1" applyFont="1" applyFill="1" applyAlignment="1">
      <alignment horizontal="center"/>
      <protection/>
    </xf>
    <xf numFmtId="0" fontId="36" fillId="0" borderId="0" xfId="141" applyNumberFormat="1" applyFont="1" applyFill="1" applyAlignment="1">
      <alignment horizontal="center"/>
      <protection/>
    </xf>
    <xf numFmtId="49" fontId="17" fillId="0" borderId="21" xfId="141" applyNumberFormat="1" applyFont="1" applyFill="1" applyBorder="1" applyAlignment="1">
      <alignment horizontal="center" vertical="center" wrapText="1"/>
      <protection/>
    </xf>
    <xf numFmtId="49" fontId="17" fillId="0" borderId="40" xfId="141" applyNumberFormat="1" applyFont="1" applyFill="1" applyBorder="1" applyAlignment="1">
      <alignment horizontal="center" vertical="center" wrapText="1"/>
      <protection/>
    </xf>
    <xf numFmtId="0" fontId="10" fillId="0" borderId="26"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wrapText="1"/>
    </xf>
    <xf numFmtId="0" fontId="10" fillId="0" borderId="43" xfId="0" applyFont="1" applyBorder="1" applyAlignment="1">
      <alignment horizontal="center"/>
    </xf>
    <xf numFmtId="0" fontId="10" fillId="0" borderId="25" xfId="0" applyFont="1" applyBorder="1" applyAlignment="1">
      <alignment horizontal="center"/>
    </xf>
    <xf numFmtId="0" fontId="10" fillId="0" borderId="21" xfId="0" applyFont="1" applyBorder="1" applyAlignment="1">
      <alignment horizontal="center" wrapText="1"/>
    </xf>
    <xf numFmtId="0" fontId="10" fillId="0" borderId="23" xfId="0" applyFont="1" applyBorder="1" applyAlignment="1">
      <alignment horizont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xf>
    <xf numFmtId="0" fontId="10" fillId="0" borderId="40" xfId="0" applyFont="1" applyBorder="1" applyAlignment="1">
      <alignment horizontal="center"/>
    </xf>
    <xf numFmtId="49" fontId="19" fillId="0" borderId="0" xfId="141" applyNumberFormat="1" applyFont="1" applyFill="1" applyAlignment="1">
      <alignment horizontal="center"/>
      <protection/>
    </xf>
    <xf numFmtId="49" fontId="8" fillId="0" borderId="0" xfId="141" applyNumberFormat="1" applyFont="1" applyFill="1" applyAlignment="1">
      <alignment horizontal="left"/>
      <protection/>
    </xf>
    <xf numFmtId="0" fontId="10" fillId="0" borderId="43" xfId="0" applyFont="1" applyBorder="1" applyAlignment="1">
      <alignment horizontal="center" vertical="center"/>
    </xf>
    <xf numFmtId="0" fontId="10" fillId="0" borderId="26"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11" fillId="0" borderId="0" xfId="141" applyNumberFormat="1" applyFont="1" applyFill="1" applyBorder="1" applyAlignment="1">
      <alignment horizontal="left"/>
      <protection/>
    </xf>
    <xf numFmtId="49" fontId="23" fillId="0" borderId="0" xfId="141" applyNumberFormat="1" applyFont="1" applyFill="1" applyBorder="1" applyAlignment="1">
      <alignment horizontal="left"/>
      <protection/>
    </xf>
    <xf numFmtId="49" fontId="18" fillId="0" borderId="0" xfId="141" applyNumberFormat="1" applyFont="1" applyFill="1" applyAlignment="1">
      <alignment horizontal="center"/>
      <protection/>
    </xf>
    <xf numFmtId="0" fontId="36" fillId="0" borderId="0" xfId="141" applyNumberFormat="1" applyFont="1" applyFill="1" applyBorder="1" applyAlignment="1">
      <alignment horizontal="center"/>
      <protection/>
    </xf>
    <xf numFmtId="0" fontId="93" fillId="0" borderId="0" xfId="141" applyNumberFormat="1" applyFont="1" applyFill="1" applyAlignment="1">
      <alignment horizontal="center"/>
      <protection/>
    </xf>
    <xf numFmtId="0" fontId="10" fillId="0" borderId="35" xfId="0" applyFont="1" applyBorder="1" applyAlignment="1">
      <alignment horizontal="center" vertical="center" wrapText="1"/>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0" xfId="141" applyFont="1" applyFill="1" applyBorder="1" applyAlignment="1">
      <alignment horizontal="left"/>
      <protection/>
    </xf>
    <xf numFmtId="0" fontId="0" fillId="0" borderId="0" xfId="141" applyFont="1" applyFill="1" applyBorder="1" applyAlignment="1">
      <alignment/>
      <protection/>
    </xf>
    <xf numFmtId="0" fontId="18" fillId="0" borderId="0" xfId="141" applyFont="1" applyFill="1" applyBorder="1" applyAlignment="1">
      <alignment horizontal="center"/>
      <protection/>
    </xf>
    <xf numFmtId="0" fontId="19" fillId="0" borderId="0" xfId="141" applyFont="1" applyFill="1" applyAlignment="1">
      <alignment horizontal="center"/>
      <protection/>
    </xf>
    <xf numFmtId="3" fontId="0" fillId="0" borderId="0" xfId="141" applyNumberFormat="1" applyFont="1" applyFill="1" applyBorder="1" applyAlignment="1">
      <alignment horizontal="left"/>
      <protection/>
    </xf>
    <xf numFmtId="0" fontId="19" fillId="0" borderId="0" xfId="141" applyFont="1" applyFill="1" applyAlignment="1">
      <alignment horizontal="center" wrapText="1"/>
      <protection/>
    </xf>
    <xf numFmtId="0" fontId="17" fillId="0" borderId="0" xfId="141" applyFont="1" applyFill="1" applyBorder="1" applyAlignment="1">
      <alignment horizontal="left"/>
      <protection/>
    </xf>
    <xf numFmtId="0" fontId="84" fillId="0" borderId="0" xfId="141" applyNumberFormat="1" applyFont="1" applyFill="1" applyAlignment="1">
      <alignment horizontal="center"/>
      <protection/>
    </xf>
    <xf numFmtId="49" fontId="36" fillId="0" borderId="0" xfId="141" applyNumberFormat="1" applyFont="1" applyFill="1" applyBorder="1" applyAlignment="1">
      <alignment horizontal="center" wrapText="1"/>
      <protection/>
    </xf>
    <xf numFmtId="49" fontId="7" fillId="0" borderId="0" xfId="141" applyNumberFormat="1" applyFont="1" applyFill="1" applyAlignment="1">
      <alignment horizontal="left"/>
      <protection/>
    </xf>
    <xf numFmtId="0" fontId="0" fillId="0" borderId="0" xfId="141" applyNumberFormat="1" applyFont="1" applyFill="1" applyBorder="1" applyAlignment="1">
      <alignment horizontal="left" vertical="top" wrapText="1"/>
      <protection/>
    </xf>
    <xf numFmtId="0" fontId="7" fillId="0" borderId="0" xfId="141" applyNumberFormat="1" applyFont="1" applyFill="1" applyBorder="1" applyAlignment="1">
      <alignment horizontal="left" vertical="top" wrapText="1"/>
      <protection/>
    </xf>
    <xf numFmtId="49" fontId="0" fillId="0" borderId="0" xfId="141" applyNumberFormat="1" applyFont="1" applyFill="1" applyAlignment="1">
      <alignment horizontal="left" vertical="top" wrapText="1"/>
      <protection/>
    </xf>
    <xf numFmtId="49" fontId="79" fillId="0" borderId="20" xfId="141" applyNumberFormat="1" applyFont="1" applyFill="1" applyBorder="1" applyAlignment="1">
      <alignment horizontal="center" vertical="center" wrapText="1"/>
      <protection/>
    </xf>
    <xf numFmtId="49" fontId="17" fillId="0" borderId="20" xfId="141" applyNumberFormat="1" applyFont="1" applyFill="1" applyBorder="1" applyAlignment="1">
      <alignment horizontal="center" vertical="center" wrapText="1"/>
      <protection/>
    </xf>
    <xf numFmtId="49" fontId="11" fillId="0" borderId="20" xfId="141" applyNumberFormat="1" applyFont="1" applyFill="1" applyBorder="1" applyAlignment="1">
      <alignment horizontal="center" vertical="center"/>
      <protection/>
    </xf>
    <xf numFmtId="49" fontId="11" fillId="0" borderId="20" xfId="141" applyNumberFormat="1" applyFont="1" applyFill="1" applyBorder="1" applyAlignment="1">
      <alignment horizontal="center" vertical="center" wrapText="1"/>
      <protection/>
    </xf>
    <xf numFmtId="49"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19" fillId="0" borderId="0" xfId="141" applyNumberFormat="1" applyFont="1" applyFill="1" applyAlignment="1">
      <alignment horizontal="center" wrapText="1"/>
      <protection/>
    </xf>
    <xf numFmtId="0" fontId="0" fillId="0" borderId="0" xfId="141" applyNumberFormat="1" applyFont="1" applyFill="1" applyBorder="1" applyAlignment="1">
      <alignment horizontal="justify" vertical="top" wrapText="1"/>
      <protection/>
    </xf>
    <xf numFmtId="0" fontId="0" fillId="0" borderId="0" xfId="141" applyNumberFormat="1" applyFont="1" applyFill="1" applyBorder="1" applyAlignment="1">
      <alignment horizontal="justify" vertical="top"/>
      <protection/>
    </xf>
    <xf numFmtId="0" fontId="0" fillId="0" borderId="0" xfId="141" applyNumberFormat="1" applyFont="1" applyFill="1" applyBorder="1" applyAlignment="1">
      <alignment horizontal="left" wrapText="1"/>
      <protection/>
    </xf>
    <xf numFmtId="0" fontId="0" fillId="0" borderId="0" xfId="141" applyNumberFormat="1" applyFont="1" applyFill="1" applyBorder="1" applyAlignment="1">
      <alignment horizontal="left"/>
      <protection/>
    </xf>
    <xf numFmtId="0" fontId="24" fillId="0" borderId="0" xfId="141" applyNumberFormat="1" applyFont="1" applyFill="1" applyBorder="1" applyAlignment="1">
      <alignment horizontal="center"/>
      <protection/>
    </xf>
    <xf numFmtId="49" fontId="11" fillId="0" borderId="21" xfId="141" applyNumberFormat="1" applyFont="1" applyFill="1" applyBorder="1" applyAlignment="1">
      <alignment horizontal="center" vertical="center" wrapText="1"/>
      <protection/>
    </xf>
    <xf numFmtId="49" fontId="11" fillId="0" borderId="23"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wrapText="1"/>
      <protection/>
    </xf>
    <xf numFmtId="49" fontId="24" fillId="0" borderId="25" xfId="141" applyNumberFormat="1" applyFont="1" applyFill="1" applyBorder="1" applyAlignment="1">
      <alignment horizontal="center" vertical="center" wrapText="1"/>
      <protection/>
    </xf>
    <xf numFmtId="49" fontId="12" fillId="0" borderId="26" xfId="141" applyNumberFormat="1" applyFont="1" applyFill="1" applyBorder="1" applyAlignment="1">
      <alignment horizontal="center" vertical="center" wrapText="1"/>
      <protection/>
    </xf>
    <xf numFmtId="49" fontId="12" fillId="0" borderId="25" xfId="141" applyNumberFormat="1" applyFont="1" applyFill="1" applyBorder="1" applyAlignment="1">
      <alignment horizontal="center" vertical="center" wrapText="1"/>
      <protection/>
    </xf>
    <xf numFmtId="0" fontId="11" fillId="0" borderId="0" xfId="141" applyNumberFormat="1" applyFont="1" applyFill="1" applyAlignment="1">
      <alignment horizontal="left"/>
      <protection/>
    </xf>
    <xf numFmtId="49" fontId="24" fillId="0" borderId="0" xfId="141" applyNumberFormat="1" applyFont="1" applyFill="1" applyAlignment="1">
      <alignment horizontal="center"/>
      <protection/>
    </xf>
    <xf numFmtId="49" fontId="11" fillId="0" borderId="40" xfId="141" applyNumberFormat="1" applyFont="1" applyFill="1" applyBorder="1" applyAlignment="1">
      <alignment horizontal="center" vertical="center" wrapText="1"/>
      <protection/>
    </xf>
    <xf numFmtId="49" fontId="0" fillId="0" borderId="0" xfId="141" applyNumberFormat="1" applyFont="1" applyFill="1" applyBorder="1" applyAlignment="1">
      <alignment horizontal="left"/>
      <protection/>
    </xf>
    <xf numFmtId="49" fontId="23" fillId="0" borderId="22" xfId="141" applyNumberFormat="1" applyFont="1" applyFill="1" applyBorder="1" applyAlignment="1">
      <alignment horizontal="left"/>
      <protection/>
    </xf>
    <xf numFmtId="49" fontId="11" fillId="0" borderId="27" xfId="141" applyNumberFormat="1" applyFont="1" applyFill="1" applyBorder="1" applyAlignment="1">
      <alignment horizontal="center" vertical="center"/>
      <protection/>
    </xf>
    <xf numFmtId="49" fontId="11" fillId="0" borderId="37"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wrapText="1"/>
      <protection/>
    </xf>
    <xf numFmtId="49" fontId="11" fillId="0" borderId="43" xfId="141" applyNumberFormat="1" applyFont="1" applyFill="1" applyBorder="1" applyAlignment="1">
      <alignment horizontal="center" vertical="center" wrapText="1"/>
      <protection/>
    </xf>
    <xf numFmtId="49" fontId="11" fillId="0" borderId="25" xfId="141" applyNumberFormat="1" applyFont="1" applyFill="1" applyBorder="1" applyAlignment="1">
      <alignment horizontal="center" vertical="center" wrapText="1"/>
      <protection/>
    </xf>
    <xf numFmtId="49" fontId="11" fillId="0" borderId="19" xfId="141" applyNumberFormat="1" applyFont="1" applyFill="1" applyBorder="1" applyAlignment="1">
      <alignment horizontal="center" vertical="center" wrapText="1"/>
      <protection/>
    </xf>
    <xf numFmtId="49" fontId="18" fillId="0" borderId="0" xfId="141" applyNumberFormat="1" applyFont="1" applyFill="1" applyBorder="1" applyAlignment="1">
      <alignment horizontal="left"/>
      <protection/>
    </xf>
    <xf numFmtId="49" fontId="12" fillId="0" borderId="0" xfId="141" applyNumberFormat="1" applyFont="1" applyFill="1" applyAlignment="1">
      <alignment horizontal="left"/>
      <protection/>
    </xf>
    <xf numFmtId="49" fontId="8" fillId="0" borderId="0" xfId="141" applyNumberFormat="1" applyFont="1" applyFill="1" applyAlignment="1">
      <alignment/>
      <protection/>
    </xf>
    <xf numFmtId="49" fontId="11" fillId="0" borderId="27" xfId="141" applyNumberFormat="1" applyFont="1" applyFill="1" applyBorder="1" applyAlignment="1">
      <alignment horizontal="center" vertical="center" wrapText="1"/>
      <protection/>
    </xf>
    <xf numFmtId="49" fontId="11" fillId="0" borderId="37" xfId="141" applyNumberFormat="1" applyFont="1" applyFill="1" applyBorder="1" applyAlignment="1">
      <alignment horizontal="center" vertical="center" wrapText="1"/>
      <protection/>
    </xf>
    <xf numFmtId="49" fontId="24" fillId="0" borderId="26" xfId="141" applyNumberFormat="1" applyFont="1" applyFill="1" applyBorder="1" applyAlignment="1">
      <alignment horizontal="center" vertical="center"/>
      <protection/>
    </xf>
    <xf numFmtId="49" fontId="24" fillId="0" borderId="25" xfId="141" applyNumberFormat="1" applyFont="1" applyFill="1" applyBorder="1" applyAlignment="1">
      <alignment horizontal="center" vertical="center"/>
      <protection/>
    </xf>
    <xf numFmtId="49" fontId="11" fillId="0" borderId="26" xfId="141" applyNumberFormat="1" applyFont="1" applyFill="1" applyBorder="1" applyAlignment="1">
      <alignment horizontal="center" vertical="center"/>
      <protection/>
    </xf>
    <xf numFmtId="49" fontId="11" fillId="0" borderId="25" xfId="141" applyNumberFormat="1" applyFont="1" applyFill="1" applyBorder="1" applyAlignment="1">
      <alignment horizontal="center" vertical="center"/>
      <protection/>
    </xf>
    <xf numFmtId="49" fontId="11" fillId="0" borderId="35" xfId="141" applyNumberFormat="1" applyFont="1" applyFill="1" applyBorder="1" applyAlignment="1">
      <alignment horizontal="center" vertical="center" wrapText="1"/>
      <protection/>
    </xf>
    <xf numFmtId="49" fontId="11" fillId="0" borderId="36" xfId="141" applyNumberFormat="1" applyFont="1" applyFill="1" applyBorder="1" applyAlignment="1">
      <alignment horizontal="center" vertical="center" wrapText="1"/>
      <protection/>
    </xf>
    <xf numFmtId="49" fontId="11" fillId="0" borderId="24" xfId="141" applyNumberFormat="1" applyFont="1" applyFill="1" applyBorder="1" applyAlignment="1">
      <alignment horizontal="center" vertical="center" wrapText="1"/>
      <protection/>
    </xf>
    <xf numFmtId="49" fontId="11" fillId="0" borderId="42" xfId="141" applyNumberFormat="1" applyFont="1" applyFill="1" applyBorder="1" applyAlignment="1">
      <alignment horizontal="center" vertical="center" wrapText="1"/>
      <protection/>
    </xf>
    <xf numFmtId="0" fontId="87" fillId="0" borderId="43" xfId="141" applyFont="1" applyFill="1" applyBorder="1" applyAlignment="1">
      <alignment horizontal="center" vertical="center" wrapText="1"/>
      <protection/>
    </xf>
    <xf numFmtId="0" fontId="87" fillId="0" borderId="25" xfId="141" applyFont="1" applyFill="1" applyBorder="1" applyAlignment="1">
      <alignment horizontal="center" vertical="center" wrapText="1"/>
      <protection/>
    </xf>
    <xf numFmtId="49" fontId="18" fillId="0" borderId="22" xfId="141" applyNumberFormat="1" applyFont="1" applyFill="1" applyBorder="1" applyAlignment="1">
      <alignment horizontal="center" vertical="center"/>
      <protection/>
    </xf>
    <xf numFmtId="0" fontId="27" fillId="0" borderId="0" xfId="141" applyNumberFormat="1" applyFont="1" applyFill="1" applyBorder="1" applyAlignment="1">
      <alignment horizontal="center"/>
      <protection/>
    </xf>
    <xf numFmtId="0" fontId="12" fillId="0" borderId="20" xfId="141" applyFont="1" applyFill="1" applyBorder="1" applyAlignment="1">
      <alignment horizontal="center" vertical="center" wrapText="1"/>
      <protection/>
    </xf>
    <xf numFmtId="0" fontId="11" fillId="0" borderId="26" xfId="141" applyFont="1" applyFill="1" applyBorder="1" applyAlignment="1">
      <alignment horizontal="center" vertical="center" wrapText="1"/>
      <protection/>
    </xf>
    <xf numFmtId="0" fontId="11" fillId="0" borderId="25" xfId="141" applyFont="1" applyFill="1" applyBorder="1" applyAlignment="1">
      <alignment horizontal="center" vertical="center" wrapText="1"/>
      <protection/>
    </xf>
    <xf numFmtId="0" fontId="26" fillId="0" borderId="26" xfId="141" applyFont="1" applyFill="1" applyBorder="1" applyAlignment="1">
      <alignment horizontal="center" vertical="center" wrapText="1"/>
      <protection/>
    </xf>
    <xf numFmtId="0" fontId="26" fillId="0" borderId="25" xfId="141" applyFont="1" applyFill="1" applyBorder="1" applyAlignment="1">
      <alignment horizontal="center" vertical="center" wrapText="1"/>
      <protection/>
    </xf>
    <xf numFmtId="0" fontId="19" fillId="0" borderId="0" xfId="141" applyNumberFormat="1" applyFont="1" applyFill="1" applyAlignment="1">
      <alignment horizontal="center"/>
      <protection/>
    </xf>
    <xf numFmtId="0" fontId="23" fillId="0" borderId="0" xfId="141" applyFont="1" applyFill="1" applyBorder="1" applyAlignment="1">
      <alignment horizontal="left"/>
      <protection/>
    </xf>
    <xf numFmtId="0" fontId="18" fillId="0" borderId="0" xfId="141" applyFont="1" applyFill="1" applyAlignment="1">
      <alignment horizontal="center"/>
      <protection/>
    </xf>
    <xf numFmtId="0" fontId="12" fillId="0" borderId="0" xfId="141" applyNumberFormat="1" applyFont="1" applyFill="1" applyAlignment="1">
      <alignment horizontal="left"/>
      <protection/>
    </xf>
    <xf numFmtId="49" fontId="12" fillId="0" borderId="35" xfId="141" applyNumberFormat="1" applyFont="1" applyFill="1" applyBorder="1" applyAlignment="1">
      <alignment horizontal="center" vertical="center"/>
      <protection/>
    </xf>
    <xf numFmtId="49" fontId="12" fillId="0" borderId="36" xfId="141" applyNumberFormat="1" applyFont="1" applyFill="1" applyBorder="1" applyAlignment="1">
      <alignment horizontal="center" vertical="center"/>
      <protection/>
    </xf>
    <xf numFmtId="49" fontId="12" fillId="0" borderId="24" xfId="141" applyNumberFormat="1" applyFont="1" applyFill="1" applyBorder="1" applyAlignment="1">
      <alignment horizontal="center" vertical="center"/>
      <protection/>
    </xf>
    <xf numFmtId="49" fontId="12" fillId="0" borderId="42" xfId="141" applyNumberFormat="1" applyFont="1" applyFill="1" applyBorder="1" applyAlignment="1">
      <alignment horizontal="center" vertical="center"/>
      <protection/>
    </xf>
    <xf numFmtId="49" fontId="12" fillId="0" borderId="27" xfId="141" applyNumberFormat="1" applyFont="1" applyFill="1" applyBorder="1" applyAlignment="1">
      <alignment horizontal="center" vertical="center"/>
      <protection/>
    </xf>
    <xf numFmtId="49" fontId="12" fillId="0" borderId="37" xfId="141" applyNumberFormat="1" applyFont="1" applyFill="1" applyBorder="1" applyAlignment="1">
      <alignment horizontal="center" vertical="center"/>
      <protection/>
    </xf>
    <xf numFmtId="0" fontId="30" fillId="0" borderId="0" xfId="141" applyNumberFormat="1" applyFont="1" applyFill="1" applyAlignment="1">
      <alignment horizontal="center"/>
      <protection/>
    </xf>
    <xf numFmtId="0" fontId="36" fillId="0" borderId="0" xfId="141" applyNumberFormat="1" applyFont="1" applyFill="1" applyBorder="1" applyAlignment="1">
      <alignment horizontal="justify" vertical="justify" wrapText="1"/>
      <protection/>
    </xf>
    <xf numFmtId="0" fontId="34" fillId="0" borderId="0" xfId="141" applyNumberFormat="1" applyFont="1" applyFill="1" applyBorder="1" applyAlignment="1">
      <alignment horizont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20" xfId="141" applyNumberFormat="1" applyFont="1" applyFill="1" applyBorder="1" applyAlignment="1">
      <alignment horizontal="center" wrapText="1"/>
      <protection/>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20" xfId="141" applyNumberFormat="1" applyFont="1" applyFill="1" applyBorder="1" applyAlignment="1">
      <alignment horizontal="center" vertical="center"/>
      <protection/>
    </xf>
    <xf numFmtId="0" fontId="0" fillId="0" borderId="0" xfId="141" applyNumberFormat="1" applyFont="1" applyFill="1" applyAlignment="1">
      <alignment horizontal="left"/>
      <protection/>
    </xf>
    <xf numFmtId="0" fontId="0" fillId="0" borderId="0" xfId="141" applyNumberFormat="1" applyFont="1" applyFill="1" applyAlignment="1">
      <alignment horizontal="left"/>
      <protection/>
    </xf>
    <xf numFmtId="0" fontId="38"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19" fillId="0" borderId="0" xfId="141" applyNumberFormat="1" applyFont="1" applyFill="1" applyAlignment="1">
      <alignment horizontal="center"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C_thong_ke_theo_TT01_BTP"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dxfs count="20">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auto="1"/>
      </font>
      <fill>
        <patternFill>
          <bgColor indexed="10"/>
        </patternFill>
      </fill>
    </dxf>
    <dxf>
      <font>
        <color indexed="10"/>
      </font>
      <fill>
        <patternFill patternType="none">
          <bgColor indexed="65"/>
        </patternFill>
      </fill>
    </dxf>
    <dxf>
      <font>
        <color rgb="FFFF0000"/>
      </font>
      <fill>
        <patternFill patternType="none">
          <bgColor indexed="65"/>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2383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35</xdr:row>
      <xdr:rowOff>0</xdr:rowOff>
    </xdr:from>
    <xdr:ext cx="85725" cy="323850"/>
    <xdr:sp fLocksText="0">
      <xdr:nvSpPr>
        <xdr:cNvPr id="1" name="Text Box 1"/>
        <xdr:cNvSpPr txBox="1">
          <a:spLocks noChangeArrowheads="1"/>
        </xdr:cNvSpPr>
      </xdr:nvSpPr>
      <xdr:spPr>
        <a:xfrm>
          <a:off x="409575" y="7677150"/>
          <a:ext cx="8572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6"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7"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8"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9"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0"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1"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2"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3"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4"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5"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6"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7"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8"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19"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0"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1"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2"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3"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4"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5"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6"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7"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8" name="Text Box 7"/>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35</xdr:row>
      <xdr:rowOff>0</xdr:rowOff>
    </xdr:from>
    <xdr:ext cx="95250" cy="257175"/>
    <xdr:sp fLocksText="0">
      <xdr:nvSpPr>
        <xdr:cNvPr id="29" name="Text Box 11"/>
        <xdr:cNvSpPr txBox="1">
          <a:spLocks noChangeArrowheads="1"/>
        </xdr:cNvSpPr>
      </xdr:nvSpPr>
      <xdr:spPr>
        <a:xfrm>
          <a:off x="1466850" y="79629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9441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687705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770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770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30</xdr:row>
      <xdr:rowOff>0</xdr:rowOff>
    </xdr:from>
    <xdr:ext cx="85725" cy="352425"/>
    <xdr:sp fLocksText="0">
      <xdr:nvSpPr>
        <xdr:cNvPr id="39" name="Text Box 7"/>
        <xdr:cNvSpPr txBox="1">
          <a:spLocks noChangeArrowheads="1"/>
        </xdr:cNvSpPr>
      </xdr:nvSpPr>
      <xdr:spPr>
        <a:xfrm>
          <a:off x="314325" y="7572375"/>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30</xdr:row>
      <xdr:rowOff>0</xdr:rowOff>
    </xdr:from>
    <xdr:ext cx="85725" cy="104775"/>
    <xdr:sp fLocksText="0">
      <xdr:nvSpPr>
        <xdr:cNvPr id="40" name="Text Box 1"/>
        <xdr:cNvSpPr txBox="1">
          <a:spLocks noChangeArrowheads="1"/>
        </xdr:cNvSpPr>
      </xdr:nvSpPr>
      <xdr:spPr>
        <a:xfrm>
          <a:off x="314325" y="757237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30</xdr:row>
      <xdr:rowOff>0</xdr:rowOff>
    </xdr:from>
    <xdr:ext cx="85725" cy="200025"/>
    <xdr:sp fLocksText="0">
      <xdr:nvSpPr>
        <xdr:cNvPr id="41" name="Text Box 1"/>
        <xdr:cNvSpPr txBox="1">
          <a:spLocks noChangeArrowheads="1"/>
        </xdr:cNvSpPr>
      </xdr:nvSpPr>
      <xdr:spPr>
        <a:xfrm>
          <a:off x="314325" y="75723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918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514350"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5429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BAO%20C&#193;O%20C&#193;C%20HUY&#7878;N%2010%20TH&#193;NG%202016\Tp\B&#225;o%20c&#225;o%20th&#7889;ng%20k&#7871;%20theo%20bi&#7875;u%20m&#7851;u%20m&#7899;i%2010%20th&#225;ng%20n&#259;m%202016%20(version%201)%20(version%201)%20-%20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Q. Huy(biểu5)"/>
      <sheetName val="Hồng(biểu5)"/>
      <sheetName val="A. Huy (biểu 5)"/>
      <sheetName val="Tiến (biểu 5)"/>
      <sheetName val="Úy (biểu 5)"/>
      <sheetName val="Cường(biểu 5)"/>
      <sheetName val="Đ. Thủy (biểu 5)"/>
      <sheetName val="C. Thủy (biểu 5)"/>
      <sheetName val="Q. Huy(tiềnTD)"/>
      <sheetName val="Hồng(tiềnTD)"/>
      <sheetName val="A. Huy(tiềnTD)"/>
      <sheetName val="Tiến( tiền TD)"/>
      <sheetName val="Úy( tiền TD)"/>
      <sheetName val="Cường(tiềnTD)"/>
      <sheetName val="Đỗ Thủy (tiềnTD)"/>
      <sheetName val="C. Thủy ( tiền TD)"/>
      <sheetName val="Q. Huy(tiềnCD)"/>
      <sheetName val="Hồng (tiềnCD)"/>
      <sheetName val="A. Huy(tiềnCD)"/>
      <sheetName val="Tiến(tiềnCD)"/>
      <sheetName val="Úy(tiềnCD)"/>
      <sheetName val="Cường(tiềnCD)"/>
      <sheetName val="Đỗ Thủy(tiền CD)"/>
      <sheetName val="C. Thủy(tiềnCD)"/>
      <sheetName val="Q. Huy TD"/>
      <sheetName val="D. Hồng TD"/>
      <sheetName val="A. Huy "/>
      <sheetName val="Đ. Tiến"/>
      <sheetName val="Úy "/>
      <sheetName val="Q. Cường"/>
      <sheetName val="H. Thủy"/>
      <sheetName val="C. Thuy TD"/>
      <sheetName val="Q. Huy"/>
      <sheetName val="Hồng"/>
      <sheetName val="A. Huy"/>
      <sheetName val="Tiến"/>
      <sheetName val="Úy"/>
      <sheetName val="Cường"/>
      <sheetName val="H. Thủy CD"/>
      <sheetName val="c. THỦY. CD"/>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74" t="s">
        <v>27</v>
      </c>
      <c r="B1" s="1174"/>
      <c r="C1" s="1171" t="s">
        <v>90</v>
      </c>
      <c r="D1" s="1171"/>
      <c r="E1" s="1171"/>
      <c r="F1" s="1175" t="s">
        <v>86</v>
      </c>
      <c r="G1" s="1175"/>
      <c r="H1" s="1175"/>
    </row>
    <row r="2" spans="1:8" ht="33.75" customHeight="1">
      <c r="A2" s="1176" t="s">
        <v>94</v>
      </c>
      <c r="B2" s="1176"/>
      <c r="C2" s="1171"/>
      <c r="D2" s="1171"/>
      <c r="E2" s="1171"/>
      <c r="F2" s="1168" t="s">
        <v>87</v>
      </c>
      <c r="G2" s="1168"/>
      <c r="H2" s="1168"/>
    </row>
    <row r="3" spans="1:8" ht="19.5" customHeight="1">
      <c r="A3" s="9" t="s">
        <v>80</v>
      </c>
      <c r="B3" s="9"/>
      <c r="C3" s="27"/>
      <c r="D3" s="27"/>
      <c r="E3" s="27"/>
      <c r="F3" s="1168" t="s">
        <v>88</v>
      </c>
      <c r="G3" s="1168"/>
      <c r="H3" s="1168"/>
    </row>
    <row r="4" spans="1:8" s="10" customFormat="1" ht="19.5" customHeight="1">
      <c r="A4" s="9"/>
      <c r="B4" s="9"/>
      <c r="D4" s="11"/>
      <c r="F4" s="12" t="s">
        <v>89</v>
      </c>
      <c r="G4" s="12"/>
      <c r="H4" s="12"/>
    </row>
    <row r="5" spans="1:8" s="26" customFormat="1" ht="36" customHeight="1">
      <c r="A5" s="1187" t="s">
        <v>71</v>
      </c>
      <c r="B5" s="1188"/>
      <c r="C5" s="1191" t="s">
        <v>84</v>
      </c>
      <c r="D5" s="1192"/>
      <c r="E5" s="1193" t="s">
        <v>83</v>
      </c>
      <c r="F5" s="1193"/>
      <c r="G5" s="1193"/>
      <c r="H5" s="1170"/>
    </row>
    <row r="6" spans="1:8" s="26" customFormat="1" ht="20.25" customHeight="1">
      <c r="A6" s="1189"/>
      <c r="B6" s="1190"/>
      <c r="C6" s="1172" t="s">
        <v>3</v>
      </c>
      <c r="D6" s="1172" t="s">
        <v>91</v>
      </c>
      <c r="E6" s="1169" t="s">
        <v>85</v>
      </c>
      <c r="F6" s="1170"/>
      <c r="G6" s="1169" t="s">
        <v>92</v>
      </c>
      <c r="H6" s="1170"/>
    </row>
    <row r="7" spans="1:8" s="26" customFormat="1" ht="52.5" customHeight="1">
      <c r="A7" s="1189"/>
      <c r="B7" s="1190"/>
      <c r="C7" s="1173"/>
      <c r="D7" s="1173"/>
      <c r="E7" s="8" t="s">
        <v>3</v>
      </c>
      <c r="F7" s="8" t="s">
        <v>10</v>
      </c>
      <c r="G7" s="8" t="s">
        <v>3</v>
      </c>
      <c r="H7" s="8" t="s">
        <v>10</v>
      </c>
    </row>
    <row r="8" spans="1:8" ht="15" customHeight="1">
      <c r="A8" s="1178" t="s">
        <v>6</v>
      </c>
      <c r="B8" s="1179"/>
      <c r="C8" s="13">
        <v>1</v>
      </c>
      <c r="D8" s="13" t="s">
        <v>52</v>
      </c>
      <c r="E8" s="13" t="s">
        <v>57</v>
      </c>
      <c r="F8" s="13" t="s">
        <v>72</v>
      </c>
      <c r="G8" s="13" t="s">
        <v>73</v>
      </c>
      <c r="H8" s="13" t="s">
        <v>74</v>
      </c>
    </row>
    <row r="9" spans="1:8" ht="26.25" customHeight="1">
      <c r="A9" s="1180" t="s">
        <v>40</v>
      </c>
      <c r="B9" s="1181"/>
      <c r="C9" s="13"/>
      <c r="D9" s="13"/>
      <c r="E9" s="13"/>
      <c r="F9" s="13"/>
      <c r="G9" s="13"/>
      <c r="H9" s="13"/>
    </row>
    <row r="10" spans="1:8" ht="24.75" customHeight="1">
      <c r="A10" s="14" t="s">
        <v>0</v>
      </c>
      <c r="B10" s="15" t="s">
        <v>11</v>
      </c>
      <c r="C10" s="7"/>
      <c r="D10" s="16"/>
      <c r="E10" s="16"/>
      <c r="F10" s="16"/>
      <c r="G10" s="16"/>
      <c r="H10" s="16"/>
    </row>
    <row r="11" spans="1:8" ht="24.75" customHeight="1">
      <c r="A11" s="17" t="s">
        <v>1</v>
      </c>
      <c r="B11" s="18" t="s">
        <v>12</v>
      </c>
      <c r="C11" s="7"/>
      <c r="D11" s="16"/>
      <c r="E11" s="16"/>
      <c r="F11" s="16"/>
      <c r="G11" s="16"/>
      <c r="H11" s="16"/>
    </row>
    <row r="12" spans="1:8" ht="24.75" customHeight="1">
      <c r="A12" s="19" t="s">
        <v>51</v>
      </c>
      <c r="B12" s="7" t="s">
        <v>13</v>
      </c>
      <c r="C12" s="7"/>
      <c r="D12" s="16"/>
      <c r="E12" s="16"/>
      <c r="F12" s="16"/>
      <c r="G12" s="16"/>
      <c r="H12" s="16"/>
    </row>
    <row r="13" spans="1:8" ht="24.75" customHeight="1">
      <c r="A13" s="19" t="s">
        <v>52</v>
      </c>
      <c r="B13" s="7" t="s">
        <v>13</v>
      </c>
      <c r="C13" s="7"/>
      <c r="D13" s="16"/>
      <c r="E13" s="16"/>
      <c r="F13" s="16"/>
      <c r="G13" s="16"/>
      <c r="H13" s="16"/>
    </row>
    <row r="14" spans="1:8" ht="24.75" customHeight="1">
      <c r="A14" s="19" t="s">
        <v>57</v>
      </c>
      <c r="B14" s="7" t="s">
        <v>13</v>
      </c>
      <c r="C14" s="7"/>
      <c r="D14" s="16"/>
      <c r="E14" s="16"/>
      <c r="F14" s="16"/>
      <c r="G14" s="16"/>
      <c r="H14" s="16"/>
    </row>
    <row r="15" spans="1:8" ht="24.75" customHeight="1">
      <c r="A15" s="19" t="s">
        <v>19</v>
      </c>
      <c r="B15" s="28" t="s">
        <v>19</v>
      </c>
      <c r="C15" s="20"/>
      <c r="D15" s="21"/>
      <c r="E15" s="21"/>
      <c r="F15" s="21"/>
      <c r="G15" s="21"/>
      <c r="H15" s="21"/>
    </row>
    <row r="16" spans="2:8" ht="16.5" customHeight="1">
      <c r="B16" s="1182" t="s">
        <v>67</v>
      </c>
      <c r="C16" s="1182"/>
      <c r="D16" s="29"/>
      <c r="E16" s="1184" t="s">
        <v>20</v>
      </c>
      <c r="F16" s="1184"/>
      <c r="G16" s="1184"/>
      <c r="H16" s="1184"/>
    </row>
    <row r="17" spans="2:8" ht="15.75" customHeight="1">
      <c r="B17" s="1182"/>
      <c r="C17" s="1182"/>
      <c r="D17" s="29"/>
      <c r="E17" s="1185" t="s">
        <v>45</v>
      </c>
      <c r="F17" s="1185"/>
      <c r="G17" s="1185"/>
      <c r="H17" s="1185"/>
    </row>
    <row r="18" spans="2:8" s="30" customFormat="1" ht="15.75" customHeight="1">
      <c r="B18" s="1182"/>
      <c r="C18" s="1182"/>
      <c r="D18" s="31"/>
      <c r="E18" s="1186" t="s">
        <v>66</v>
      </c>
      <c r="F18" s="1186"/>
      <c r="G18" s="1186"/>
      <c r="H18" s="1186"/>
    </row>
    <row r="20" ht="15.75">
      <c r="B20" s="22"/>
    </row>
    <row r="22" ht="15.75" hidden="1">
      <c r="A22" s="23" t="s">
        <v>48</v>
      </c>
    </row>
    <row r="23" spans="1:3" ht="15.75" hidden="1">
      <c r="A23" s="24"/>
      <c r="B23" s="1183" t="s">
        <v>58</v>
      </c>
      <c r="C23" s="1183"/>
    </row>
    <row r="24" spans="1:8" ht="15.75" customHeight="1" hidden="1">
      <c r="A24" s="25" t="s">
        <v>26</v>
      </c>
      <c r="B24" s="1177" t="s">
        <v>62</v>
      </c>
      <c r="C24" s="1177"/>
      <c r="D24" s="25"/>
      <c r="E24" s="25"/>
      <c r="F24" s="25"/>
      <c r="G24" s="25"/>
      <c r="H24" s="25"/>
    </row>
    <row r="25" spans="1:8" ht="15" customHeight="1" hidden="1">
      <c r="A25" s="25"/>
      <c r="B25" s="1177" t="s">
        <v>65</v>
      </c>
      <c r="C25" s="1177"/>
      <c r="D25" s="1177"/>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369" t="s">
        <v>322</v>
      </c>
      <c r="B1" s="1369"/>
      <c r="C1" s="1369"/>
      <c r="D1" s="1372" t="s">
        <v>449</v>
      </c>
      <c r="E1" s="1372"/>
      <c r="F1" s="1372"/>
      <c r="G1" s="1372"/>
      <c r="H1" s="1372"/>
      <c r="I1" s="1372"/>
      <c r="J1" s="200" t="s">
        <v>450</v>
      </c>
      <c r="K1" s="331"/>
      <c r="L1" s="331"/>
    </row>
    <row r="2" spans="1:12" ht="18.75" customHeight="1">
      <c r="A2" s="1370" t="s">
        <v>408</v>
      </c>
      <c r="B2" s="1370"/>
      <c r="C2" s="1370"/>
      <c r="D2" s="1460" t="s">
        <v>323</v>
      </c>
      <c r="E2" s="1460"/>
      <c r="F2" s="1460"/>
      <c r="G2" s="1460"/>
      <c r="H2" s="1460"/>
      <c r="I2" s="1460"/>
      <c r="J2" s="1369" t="s">
        <v>451</v>
      </c>
      <c r="K2" s="1369"/>
      <c r="L2" s="1369"/>
    </row>
    <row r="3" spans="1:12" ht="17.25">
      <c r="A3" s="1370" t="s">
        <v>360</v>
      </c>
      <c r="B3" s="1370"/>
      <c r="C3" s="1370"/>
      <c r="D3" s="1461" t="s">
        <v>452</v>
      </c>
      <c r="E3" s="1462"/>
      <c r="F3" s="1462"/>
      <c r="G3" s="1462"/>
      <c r="H3" s="1462"/>
      <c r="I3" s="1462"/>
      <c r="J3" s="203" t="s">
        <v>468</v>
      </c>
      <c r="K3" s="203"/>
      <c r="L3" s="203"/>
    </row>
    <row r="4" spans="1:12" ht="15.75">
      <c r="A4" s="1457" t="s">
        <v>453</v>
      </c>
      <c r="B4" s="1457"/>
      <c r="C4" s="1457"/>
      <c r="D4" s="1458"/>
      <c r="E4" s="1458"/>
      <c r="F4" s="1458"/>
      <c r="G4" s="1458"/>
      <c r="H4" s="1458"/>
      <c r="I4" s="1458"/>
      <c r="J4" s="1386" t="s">
        <v>410</v>
      </c>
      <c r="K4" s="1386"/>
      <c r="L4" s="1386"/>
    </row>
    <row r="5" spans="1:13" ht="15.75">
      <c r="A5" s="333"/>
      <c r="B5" s="333"/>
      <c r="C5" s="334"/>
      <c r="D5" s="334"/>
      <c r="E5" s="202"/>
      <c r="J5" s="335" t="s">
        <v>454</v>
      </c>
      <c r="K5" s="250"/>
      <c r="L5" s="250"/>
      <c r="M5" s="250"/>
    </row>
    <row r="6" spans="1:13" s="338" customFormat="1" ht="24.75" customHeight="1">
      <c r="A6" s="1451" t="s">
        <v>71</v>
      </c>
      <c r="B6" s="1452"/>
      <c r="C6" s="1449" t="s">
        <v>455</v>
      </c>
      <c r="D6" s="1449"/>
      <c r="E6" s="1449"/>
      <c r="F6" s="1449"/>
      <c r="G6" s="1449"/>
      <c r="H6" s="1449"/>
      <c r="I6" s="1449" t="s">
        <v>324</v>
      </c>
      <c r="J6" s="1449"/>
      <c r="K6" s="1449"/>
      <c r="L6" s="1449"/>
      <c r="M6" s="337"/>
    </row>
    <row r="7" spans="1:13" s="338" customFormat="1" ht="17.25" customHeight="1">
      <c r="A7" s="1453"/>
      <c r="B7" s="1454"/>
      <c r="C7" s="1449" t="s">
        <v>37</v>
      </c>
      <c r="D7" s="1449"/>
      <c r="E7" s="1449" t="s">
        <v>7</v>
      </c>
      <c r="F7" s="1449"/>
      <c r="G7" s="1449"/>
      <c r="H7" s="1449"/>
      <c r="I7" s="1449" t="s">
        <v>325</v>
      </c>
      <c r="J7" s="1449"/>
      <c r="K7" s="1449" t="s">
        <v>326</v>
      </c>
      <c r="L7" s="1449"/>
      <c r="M7" s="337"/>
    </row>
    <row r="8" spans="1:12" s="338" customFormat="1" ht="27.75" customHeight="1">
      <c r="A8" s="1453"/>
      <c r="B8" s="1454"/>
      <c r="C8" s="1449"/>
      <c r="D8" s="1449"/>
      <c r="E8" s="1449" t="s">
        <v>327</v>
      </c>
      <c r="F8" s="1449"/>
      <c r="G8" s="1449" t="s">
        <v>328</v>
      </c>
      <c r="H8" s="1449"/>
      <c r="I8" s="1449"/>
      <c r="J8" s="1449"/>
      <c r="K8" s="1449"/>
      <c r="L8" s="1449"/>
    </row>
    <row r="9" spans="1:12" s="338" customFormat="1" ht="24.75" customHeight="1">
      <c r="A9" s="1455"/>
      <c r="B9" s="1456"/>
      <c r="C9" s="336" t="s">
        <v>329</v>
      </c>
      <c r="D9" s="336" t="s">
        <v>10</v>
      </c>
      <c r="E9" s="336" t="s">
        <v>3</v>
      </c>
      <c r="F9" s="336" t="s">
        <v>330</v>
      </c>
      <c r="G9" s="336" t="s">
        <v>3</v>
      </c>
      <c r="H9" s="336" t="s">
        <v>330</v>
      </c>
      <c r="I9" s="336" t="s">
        <v>3</v>
      </c>
      <c r="J9" s="336" t="s">
        <v>330</v>
      </c>
      <c r="K9" s="336" t="s">
        <v>3</v>
      </c>
      <c r="L9" s="336" t="s">
        <v>330</v>
      </c>
    </row>
    <row r="10" spans="1:12" s="340" customFormat="1" ht="15.75">
      <c r="A10" s="1353" t="s">
        <v>6</v>
      </c>
      <c r="B10" s="1354"/>
      <c r="C10" s="339">
        <v>1</v>
      </c>
      <c r="D10" s="339">
        <v>2</v>
      </c>
      <c r="E10" s="339">
        <v>3</v>
      </c>
      <c r="F10" s="339">
        <v>4</v>
      </c>
      <c r="G10" s="339">
        <v>5</v>
      </c>
      <c r="H10" s="339">
        <v>6</v>
      </c>
      <c r="I10" s="339">
        <v>7</v>
      </c>
      <c r="J10" s="339">
        <v>8</v>
      </c>
      <c r="K10" s="339">
        <v>9</v>
      </c>
      <c r="L10" s="339">
        <v>10</v>
      </c>
    </row>
    <row r="11" spans="1:12" s="340" customFormat="1" ht="30.75" customHeight="1">
      <c r="A11" s="1361" t="s">
        <v>405</v>
      </c>
      <c r="B11" s="1362"/>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66" t="s">
        <v>406</v>
      </c>
      <c r="B12" s="1367"/>
      <c r="C12" s="258">
        <v>0</v>
      </c>
      <c r="D12" s="258">
        <v>0</v>
      </c>
      <c r="E12" s="258">
        <v>0</v>
      </c>
      <c r="F12" s="258">
        <v>0</v>
      </c>
      <c r="G12" s="258">
        <v>0</v>
      </c>
      <c r="H12" s="258">
        <v>0</v>
      </c>
      <c r="I12" s="258">
        <v>0</v>
      </c>
      <c r="J12" s="258">
        <v>0</v>
      </c>
      <c r="K12" s="258">
        <v>0</v>
      </c>
      <c r="L12" s="258">
        <v>0</v>
      </c>
    </row>
    <row r="13" spans="1:32" s="340" customFormat="1" ht="17.25" customHeight="1">
      <c r="A13" s="1347" t="s">
        <v>36</v>
      </c>
      <c r="B13" s="1348"/>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97</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18</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64" t="s">
        <v>393</v>
      </c>
      <c r="C28" s="1364"/>
      <c r="D28" s="1364"/>
      <c r="E28" s="213"/>
      <c r="F28" s="267"/>
      <c r="G28" s="267"/>
      <c r="H28" s="1363" t="s">
        <v>393</v>
      </c>
      <c r="I28" s="1363"/>
      <c r="J28" s="1363"/>
      <c r="K28" s="1363"/>
      <c r="L28" s="1363"/>
      <c r="AG28" s="201" t="s">
        <v>394</v>
      </c>
      <c r="AI28" s="199">
        <f>82/88</f>
        <v>0.9318181818181818</v>
      </c>
    </row>
    <row r="29" spans="1:12" s="201" customFormat="1" ht="19.5" customHeight="1">
      <c r="A29" s="211"/>
      <c r="B29" s="1365" t="s">
        <v>331</v>
      </c>
      <c r="C29" s="1365"/>
      <c r="D29" s="1365"/>
      <c r="E29" s="213"/>
      <c r="F29" s="214"/>
      <c r="G29" s="214"/>
      <c r="H29" s="1368" t="s">
        <v>249</v>
      </c>
      <c r="I29" s="1368"/>
      <c r="J29" s="1368"/>
      <c r="K29" s="1368"/>
      <c r="L29" s="1368"/>
    </row>
    <row r="30" spans="1:12" s="205" customFormat="1" ht="15" customHeight="1">
      <c r="A30" s="211"/>
      <c r="B30" s="1450"/>
      <c r="C30" s="1450"/>
      <c r="D30" s="1450"/>
      <c r="E30" s="213"/>
      <c r="F30" s="214"/>
      <c r="G30" s="214"/>
      <c r="H30" s="1322"/>
      <c r="I30" s="1322"/>
      <c r="J30" s="1322"/>
      <c r="K30" s="1322"/>
      <c r="L30" s="1322"/>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48" t="s">
        <v>397</v>
      </c>
      <c r="C33" s="1448"/>
      <c r="D33" s="1448"/>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46</v>
      </c>
      <c r="B36" s="195"/>
      <c r="C36" s="195"/>
      <c r="D36" s="195"/>
      <c r="E36" s="195"/>
      <c r="F36" s="195"/>
      <c r="G36" s="195"/>
      <c r="H36" s="195"/>
      <c r="I36" s="195"/>
      <c r="J36" s="195"/>
      <c r="K36" s="347"/>
      <c r="L36" s="195"/>
    </row>
    <row r="37" spans="1:15" s="193" customFormat="1" ht="15" customHeight="1" hidden="1">
      <c r="A37" s="197"/>
      <c r="B37" s="1459" t="s">
        <v>332</v>
      </c>
      <c r="C37" s="1459"/>
      <c r="D37" s="1459"/>
      <c r="E37" s="1459"/>
      <c r="F37" s="1459"/>
      <c r="G37" s="1459"/>
      <c r="H37" s="1459"/>
      <c r="I37" s="1459"/>
      <c r="J37" s="1459"/>
      <c r="K37" s="348"/>
      <c r="L37" s="303"/>
      <c r="M37" s="274"/>
      <c r="N37" s="274"/>
      <c r="O37" s="274"/>
    </row>
    <row r="38" spans="2:12" s="193" customFormat="1" ht="18.75" hidden="1">
      <c r="B38" s="245" t="s">
        <v>333</v>
      </c>
      <c r="C38" s="195"/>
      <c r="D38" s="195"/>
      <c r="E38" s="195"/>
      <c r="F38" s="195"/>
      <c r="G38" s="195"/>
      <c r="H38" s="195"/>
      <c r="I38" s="195"/>
      <c r="J38" s="195"/>
      <c r="K38" s="347"/>
      <c r="L38" s="195"/>
    </row>
    <row r="39" spans="2:12" ht="18.75" hidden="1">
      <c r="B39" s="349" t="s">
        <v>334</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194" t="s">
        <v>439</v>
      </c>
      <c r="C41" s="1194"/>
      <c r="D41" s="1194"/>
      <c r="E41" s="219"/>
      <c r="F41" s="219"/>
      <c r="G41" s="191"/>
      <c r="H41" s="1195" t="s">
        <v>351</v>
      </c>
      <c r="I41" s="1195"/>
      <c r="J41" s="1195"/>
      <c r="K41" s="1195"/>
      <c r="L41" s="1195"/>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63" t="s">
        <v>481</v>
      </c>
      <c r="M1" s="1464"/>
      <c r="N1" s="1464"/>
      <c r="O1" s="374"/>
      <c r="P1" s="374"/>
      <c r="Q1" s="374"/>
      <c r="R1" s="374"/>
      <c r="S1" s="374"/>
      <c r="T1" s="374"/>
      <c r="U1" s="374"/>
      <c r="V1" s="374"/>
      <c r="W1" s="374"/>
      <c r="X1" s="374"/>
      <c r="Y1" s="375"/>
    </row>
    <row r="2" spans="11:17" ht="34.5" customHeight="1">
      <c r="K2" s="358"/>
      <c r="L2" s="1465" t="s">
        <v>488</v>
      </c>
      <c r="M2" s="1466"/>
      <c r="N2" s="1467"/>
      <c r="O2" s="38"/>
      <c r="P2" s="360"/>
      <c r="Q2" s="356"/>
    </row>
    <row r="3" spans="11:18" ht="31.5" customHeight="1">
      <c r="K3" s="358"/>
      <c r="L3" s="363" t="s">
        <v>497</v>
      </c>
      <c r="M3" s="364">
        <f>'06'!C11</f>
        <v>3706</v>
      </c>
      <c r="N3" s="364"/>
      <c r="O3" s="364"/>
      <c r="P3" s="361"/>
      <c r="Q3" s="357"/>
      <c r="R3" s="354"/>
    </row>
    <row r="4" spans="11:18" ht="30" customHeight="1">
      <c r="K4" s="358"/>
      <c r="L4" s="365" t="s">
        <v>482</v>
      </c>
      <c r="M4" s="366">
        <f>'06'!D11</f>
        <v>1425</v>
      </c>
      <c r="N4" s="364"/>
      <c r="O4" s="364"/>
      <c r="P4" s="361"/>
      <c r="Q4" s="357"/>
      <c r="R4" s="354"/>
    </row>
    <row r="5" spans="11:18" ht="31.5" customHeight="1">
      <c r="K5" s="358"/>
      <c r="L5" s="365" t="s">
        <v>483</v>
      </c>
      <c r="M5" s="366">
        <f>'06'!E11</f>
        <v>2281</v>
      </c>
      <c r="N5" s="364"/>
      <c r="O5" s="364"/>
      <c r="P5" s="361"/>
      <c r="Q5" s="357"/>
      <c r="R5" s="354"/>
    </row>
    <row r="6" spans="11:18" ht="27" customHeight="1">
      <c r="K6" s="358"/>
      <c r="L6" s="363" t="s">
        <v>484</v>
      </c>
      <c r="M6" s="364">
        <f>'06'!F11</f>
        <v>34</v>
      </c>
      <c r="N6" s="364"/>
      <c r="O6" s="364"/>
      <c r="P6" s="361"/>
      <c r="Q6" s="357"/>
      <c r="R6" s="354"/>
    </row>
    <row r="7" spans="11:18" s="351" customFormat="1" ht="30" customHeight="1">
      <c r="K7" s="359"/>
      <c r="L7" s="367" t="s">
        <v>511</v>
      </c>
      <c r="M7" s="364">
        <f>'06'!H11</f>
        <v>3672</v>
      </c>
      <c r="N7" s="364"/>
      <c r="O7" s="364"/>
      <c r="P7" s="361"/>
      <c r="Q7" s="357"/>
      <c r="R7" s="354"/>
    </row>
    <row r="8" spans="11:18" ht="30.75" customHeight="1">
      <c r="K8" s="358"/>
      <c r="L8" s="368" t="s">
        <v>510</v>
      </c>
      <c r="M8" s="369">
        <f>'[7]M6 Tong hop Viec CHV '!$C$12</f>
        <v>1489</v>
      </c>
      <c r="N8" s="364"/>
      <c r="O8" s="364"/>
      <c r="P8" s="361"/>
      <c r="Q8" s="357"/>
      <c r="R8" s="354"/>
    </row>
    <row r="9" spans="11:18" ht="33" customHeight="1">
      <c r="K9" s="358"/>
      <c r="L9" s="376" t="s">
        <v>513</v>
      </c>
      <c r="M9" s="377">
        <f>(M7-M8)/M8</f>
        <v>1.4660846205507052</v>
      </c>
      <c r="N9" s="364"/>
      <c r="O9" s="364"/>
      <c r="P9" s="361"/>
      <c r="Q9" s="357"/>
      <c r="R9" s="354"/>
    </row>
    <row r="10" spans="11:18" ht="33" customHeight="1">
      <c r="K10" s="358"/>
      <c r="L10" s="363" t="s">
        <v>512</v>
      </c>
      <c r="M10" s="364">
        <f>'06'!I11</f>
        <v>2546</v>
      </c>
      <c r="N10" s="364" t="s">
        <v>485</v>
      </c>
      <c r="O10" s="370">
        <f>M10/M7</f>
        <v>0.6933551198257081</v>
      </c>
      <c r="P10" s="361"/>
      <c r="Q10" s="357"/>
      <c r="R10" s="354"/>
    </row>
    <row r="11" spans="11:18" ht="22.5" customHeight="1">
      <c r="K11" s="358"/>
      <c r="L11" s="363" t="s">
        <v>514</v>
      </c>
      <c r="M11" s="364">
        <f>'06'!Q11</f>
        <v>1126</v>
      </c>
      <c r="N11" s="364" t="s">
        <v>485</v>
      </c>
      <c r="O11" s="370">
        <f>M11/M7</f>
        <v>0.3066448801742919</v>
      </c>
      <c r="P11" s="361"/>
      <c r="Q11" s="357"/>
      <c r="R11" s="354"/>
    </row>
    <row r="12" spans="11:18" ht="34.5" customHeight="1">
      <c r="K12" s="358"/>
      <c r="L12" s="363" t="s">
        <v>515</v>
      </c>
      <c r="M12" s="364">
        <f>'06'!J11+'06'!K11</f>
        <v>1908</v>
      </c>
      <c r="N12" s="363"/>
      <c r="O12" s="363"/>
      <c r="P12" s="355"/>
      <c r="R12" s="355"/>
    </row>
    <row r="13" spans="11:18" ht="33.75" customHeight="1">
      <c r="K13" s="358"/>
      <c r="L13" s="363" t="s">
        <v>516</v>
      </c>
      <c r="M13" s="370">
        <f>M12/M7</f>
        <v>0.5196078431372549</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517</v>
      </c>
      <c r="M16" s="369">
        <f>'[7]M6 Tong hop Viec CHV '!$H$12+'[7]M6 Tong hop Viec CHV '!$I$12+'[7]M6 Tong hop Viec CHV '!$K$12</f>
        <v>749</v>
      </c>
      <c r="N16" s="364"/>
      <c r="O16" s="364"/>
      <c r="P16" s="361"/>
      <c r="R16" s="355"/>
    </row>
    <row r="17" spans="11:18" ht="24.75" customHeight="1">
      <c r="K17" s="358"/>
      <c r="L17" s="376" t="s">
        <v>518</v>
      </c>
      <c r="M17" s="371">
        <f>M16/M8</f>
        <v>0.5030221625251847</v>
      </c>
      <c r="N17" s="364"/>
      <c r="O17" s="364"/>
      <c r="P17" s="361"/>
      <c r="R17" s="355"/>
    </row>
    <row r="18" spans="11:18" ht="26.25" customHeight="1">
      <c r="K18" s="358"/>
      <c r="L18" s="376" t="s">
        <v>486</v>
      </c>
      <c r="M18" s="377">
        <f>M13-M17</f>
        <v>0.01658568061207022</v>
      </c>
      <c r="N18" s="364"/>
      <c r="O18" s="364"/>
      <c r="P18" s="361"/>
      <c r="R18" s="355"/>
    </row>
    <row r="19" spans="11:18" ht="24.75" customHeight="1">
      <c r="K19" s="358"/>
      <c r="L19" s="363" t="s">
        <v>519</v>
      </c>
      <c r="M19" s="364">
        <f>'06'!J11</f>
        <v>1888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520</v>
      </c>
      <c r="M26" s="370">
        <f>M19/'06'!I11</f>
        <v>0.7415553809897879</v>
      </c>
      <c r="N26" s="364"/>
      <c r="O26" s="364"/>
      <c r="P26" s="361"/>
      <c r="R26" s="355"/>
    </row>
    <row r="27" spans="11:18" ht="24.75" customHeight="1">
      <c r="K27" s="358"/>
      <c r="L27" s="368" t="s">
        <v>521</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522</v>
      </c>
      <c r="M30" s="370">
        <f>M26-M27</f>
        <v>0.06889351048619075</v>
      </c>
      <c r="N30" s="364"/>
      <c r="O30" s="364"/>
      <c r="P30" s="361"/>
      <c r="R30" s="355"/>
    </row>
    <row r="31" spans="11:18" ht="24.75" customHeight="1">
      <c r="K31" s="358"/>
      <c r="L31" s="363" t="s">
        <v>523</v>
      </c>
      <c r="M31" s="364">
        <f>'06'!R11</f>
        <v>1764</v>
      </c>
      <c r="N31" s="364"/>
      <c r="O31" s="364"/>
      <c r="P31" s="361"/>
      <c r="R31" s="355"/>
    </row>
    <row r="32" spans="11:18" ht="24.75" customHeight="1">
      <c r="K32" s="358"/>
      <c r="L32" s="368" t="s">
        <v>524</v>
      </c>
      <c r="M32" s="369">
        <f>'[7]M6 Tong hop Viec CHV '!$R$12</f>
        <v>719</v>
      </c>
      <c r="N32" s="364"/>
      <c r="O32" s="364"/>
      <c r="P32" s="361"/>
      <c r="R32" s="355"/>
    </row>
    <row r="33" spans="11:18" ht="24.75" customHeight="1">
      <c r="K33" s="358"/>
      <c r="L33" s="376" t="s">
        <v>525</v>
      </c>
      <c r="M33" s="378">
        <f>M31-M32</f>
        <v>1045</v>
      </c>
      <c r="N33" s="378" t="s">
        <v>487</v>
      </c>
      <c r="O33" s="377">
        <f>(M31-M32)/M32</f>
        <v>1.4534075104311543</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526</v>
      </c>
      <c r="M42" s="364">
        <f>'07'!C11</f>
        <v>105732363</v>
      </c>
      <c r="N42" s="364"/>
      <c r="O42" s="364"/>
      <c r="P42" s="355"/>
      <c r="R42" s="355"/>
    </row>
    <row r="43" spans="11:18" ht="24.75" customHeight="1">
      <c r="K43" s="358"/>
      <c r="L43" s="372" t="s">
        <v>131</v>
      </c>
      <c r="M43" s="364">
        <f>'07'!D11</f>
        <v>78414739</v>
      </c>
      <c r="N43" s="364"/>
      <c r="O43" s="364"/>
      <c r="P43" s="355"/>
      <c r="R43" s="355"/>
    </row>
    <row r="44" spans="11:18" ht="24.75" customHeight="1">
      <c r="K44" s="358"/>
      <c r="L44" s="372" t="s">
        <v>483</v>
      </c>
      <c r="M44" s="364">
        <f>'07'!E11</f>
        <v>27317624</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527</v>
      </c>
      <c r="M47" s="364">
        <f>'07'!F11</f>
        <v>2119393</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528</v>
      </c>
      <c r="M50" s="364">
        <f>'07'!H11</f>
        <v>103612970</v>
      </c>
      <c r="N50" s="364"/>
      <c r="O50" s="364"/>
      <c r="P50" s="355"/>
      <c r="R50" s="355"/>
    </row>
    <row r="51" spans="11:18" ht="24.75" customHeight="1">
      <c r="K51" s="358"/>
      <c r="L51" s="373" t="s">
        <v>529</v>
      </c>
      <c r="M51" s="369">
        <f>'[7]M7 Thop tien CHV'!$C$12</f>
        <v>54227822.442</v>
      </c>
      <c r="N51" s="364"/>
      <c r="O51" s="364"/>
      <c r="P51" s="355"/>
      <c r="R51" s="355"/>
    </row>
    <row r="52" spans="11:18" ht="24.75" customHeight="1">
      <c r="K52" s="358"/>
      <c r="L52" s="386" t="s">
        <v>490</v>
      </c>
      <c r="M52" s="378">
        <f>M50-M51</f>
        <v>49385147.558</v>
      </c>
      <c r="N52" s="364"/>
      <c r="O52" s="364"/>
      <c r="P52" s="355"/>
      <c r="R52" s="355"/>
    </row>
    <row r="53" spans="11:18" ht="24.75" customHeight="1">
      <c r="K53" s="358"/>
      <c r="L53" s="386" t="s">
        <v>491</v>
      </c>
      <c r="M53" s="377">
        <f>(M52/M51)</f>
        <v>0.910697596438073</v>
      </c>
      <c r="N53" s="364"/>
      <c r="O53" s="364"/>
      <c r="P53" s="355"/>
      <c r="R53" s="355"/>
    </row>
    <row r="54" spans="11:18" ht="24.75" customHeight="1">
      <c r="K54" s="358"/>
      <c r="L54" s="372" t="s">
        <v>530</v>
      </c>
      <c r="M54" s="364">
        <f>'07'!I11</f>
        <v>69722325</v>
      </c>
      <c r="N54" s="364" t="s">
        <v>492</v>
      </c>
      <c r="O54" s="370">
        <f>'07'!I11/'07'!H11</f>
        <v>0.6729111712558765</v>
      </c>
      <c r="P54" s="355"/>
      <c r="R54" s="355"/>
    </row>
    <row r="55" spans="11:18" ht="24.75" customHeight="1">
      <c r="K55" s="358"/>
      <c r="L55" s="372" t="s">
        <v>531</v>
      </c>
      <c r="M55" s="364">
        <f>'07'!R11</f>
        <v>33890645</v>
      </c>
      <c r="N55" s="364" t="s">
        <v>492</v>
      </c>
      <c r="O55" s="370">
        <f>'07'!R11/'07'!H11</f>
        <v>0.3270888287441234</v>
      </c>
      <c r="P55" s="355"/>
      <c r="R55" s="355"/>
    </row>
    <row r="56" spans="11:18" ht="24.75" customHeight="1">
      <c r="K56" s="358"/>
      <c r="L56" s="372" t="s">
        <v>532</v>
      </c>
      <c r="M56" s="364">
        <f>'07'!J11+'07'!K11+'07'!L11</f>
        <v>9675082</v>
      </c>
      <c r="N56" s="364" t="s">
        <v>492</v>
      </c>
      <c r="O56" s="370">
        <f>M56/'07'!H11</f>
        <v>0.09337713222582077</v>
      </c>
      <c r="P56" s="355"/>
      <c r="R56" s="355"/>
    </row>
    <row r="57" spans="11:18" ht="24.75" customHeight="1">
      <c r="K57" s="358"/>
      <c r="L57" s="373" t="s">
        <v>533</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534</v>
      </c>
      <c r="M60" s="377">
        <f>O56-O57</f>
        <v>0.05248066247780543</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535</v>
      </c>
      <c r="M63" s="364">
        <f>'07'!J11</f>
        <v>7328729</v>
      </c>
      <c r="N63" s="364" t="s">
        <v>493</v>
      </c>
      <c r="O63" s="370">
        <f>'07'!J11/'07'!I11</f>
        <v>0.10511308967393156</v>
      </c>
      <c r="P63" s="355"/>
      <c r="R63" s="355"/>
    </row>
    <row r="64" spans="11:16" ht="24.75" customHeight="1">
      <c r="K64" s="358"/>
      <c r="L64" s="373" t="s">
        <v>536</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537</v>
      </c>
      <c r="M68" s="377">
        <f>O63-O64</f>
        <v>0.0908695883541179</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538</v>
      </c>
      <c r="M72" s="364">
        <f>'07'!S11</f>
        <v>93937888</v>
      </c>
      <c r="N72" s="364"/>
      <c r="O72" s="364"/>
      <c r="P72" s="355"/>
    </row>
    <row r="73" spans="11:16" ht="24.75" customHeight="1">
      <c r="K73" s="358"/>
      <c r="L73" s="373" t="s">
        <v>539</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45811077.638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0.9518826885351109</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1" sqref="A11:B11"/>
    </sheetView>
  </sheetViews>
  <sheetFormatPr defaultColWidth="9.00390625" defaultRowHeight="15.75"/>
  <cols>
    <col min="1" max="1" width="23.50390625" style="0" customWidth="1"/>
    <col min="2" max="2" width="66.125" style="0" customWidth="1"/>
  </cols>
  <sheetData>
    <row r="2" spans="1:2" ht="62.25" customHeight="1">
      <c r="A2" s="1468" t="s">
        <v>568</v>
      </c>
      <c r="B2" s="1468"/>
    </row>
    <row r="3" spans="1:2" ht="22.5" customHeight="1">
      <c r="A3" s="512" t="s">
        <v>543</v>
      </c>
      <c r="B3" s="513" t="s">
        <v>798</v>
      </c>
    </row>
    <row r="4" spans="1:2" ht="22.5" customHeight="1">
      <c r="A4" s="512" t="s">
        <v>541</v>
      </c>
      <c r="B4" s="513" t="s">
        <v>733</v>
      </c>
    </row>
    <row r="5" spans="1:2" ht="22.5" customHeight="1">
      <c r="A5" s="512" t="s">
        <v>544</v>
      </c>
      <c r="B5" s="902" t="s">
        <v>736</v>
      </c>
    </row>
    <row r="6" spans="1:2" ht="22.5" customHeight="1">
      <c r="A6" s="512" t="s">
        <v>545</v>
      </c>
      <c r="B6" s="558" t="s">
        <v>722</v>
      </c>
    </row>
    <row r="7" spans="1:2" ht="22.5" customHeight="1">
      <c r="A7" s="512" t="s">
        <v>546</v>
      </c>
      <c r="B7" s="558" t="s">
        <v>506</v>
      </c>
    </row>
    <row r="8" spans="1:2" ht="15.75">
      <c r="A8" s="514" t="s">
        <v>547</v>
      </c>
      <c r="B8" s="903" t="s">
        <v>805</v>
      </c>
    </row>
    <row r="10" spans="1:2" ht="62.25" customHeight="1">
      <c r="A10" s="1469" t="s">
        <v>646</v>
      </c>
      <c r="B10" s="1469"/>
    </row>
    <row r="11" spans="1:2" ht="15.75">
      <c r="A11" s="1470" t="s">
        <v>567</v>
      </c>
      <c r="B11" s="147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S218"/>
  <sheetViews>
    <sheetView showZeros="0" zoomScale="85" zoomScaleNormal="85" zoomScaleSheetLayoutView="85" zoomScalePageLayoutView="0" workbookViewId="0" topLeftCell="A1">
      <selection activeCell="B234" sqref="B234"/>
    </sheetView>
  </sheetViews>
  <sheetFormatPr defaultColWidth="9.00390625" defaultRowHeight="15.75"/>
  <cols>
    <col min="1" max="1" width="4.125" style="435" customWidth="1"/>
    <col min="2" max="2" width="23.25390625" style="388" customWidth="1"/>
    <col min="3" max="3" width="11.75390625" style="388" customWidth="1"/>
    <col min="4" max="4" width="9.625" style="388" customWidth="1"/>
    <col min="5" max="5" width="9.50390625" style="388" customWidth="1"/>
    <col min="6" max="6" width="10.125" style="388" customWidth="1"/>
    <col min="7" max="7" width="9.25390625" style="388" customWidth="1"/>
    <col min="8" max="8" width="9.50390625" style="388" bestFit="1" customWidth="1"/>
    <col min="9" max="9" width="9.875" style="388" customWidth="1"/>
    <col min="10" max="10" width="8.875" style="388" customWidth="1"/>
    <col min="11" max="11" width="8.625" style="388" customWidth="1"/>
    <col min="12" max="12" width="6.00390625" style="388" customWidth="1"/>
    <col min="13" max="13" width="6.875" style="388" customWidth="1"/>
    <col min="14" max="14" width="7.125" style="388" customWidth="1"/>
    <col min="15" max="16384" width="9.00390625" style="388" customWidth="1"/>
  </cols>
  <sheetData>
    <row r="1" spans="1:19" ht="19.5" customHeight="1">
      <c r="A1" s="1502" t="s">
        <v>28</v>
      </c>
      <c r="B1" s="1502"/>
      <c r="C1" s="415"/>
      <c r="D1" s="1503" t="s">
        <v>81</v>
      </c>
      <c r="E1" s="1503"/>
      <c r="F1" s="1503"/>
      <c r="G1" s="1503"/>
      <c r="H1" s="1503"/>
      <c r="I1" s="1503"/>
      <c r="J1" s="1503"/>
      <c r="K1" s="1503"/>
      <c r="L1" s="1494" t="s">
        <v>542</v>
      </c>
      <c r="M1" s="1494"/>
      <c r="N1" s="1494"/>
      <c r="S1" s="809"/>
    </row>
    <row r="2" spans="1:16" ht="16.5" customHeight="1">
      <c r="A2" s="417" t="s">
        <v>342</v>
      </c>
      <c r="B2" s="417"/>
      <c r="C2" s="417"/>
      <c r="D2" s="1503" t="s">
        <v>117</v>
      </c>
      <c r="E2" s="1503"/>
      <c r="F2" s="1503"/>
      <c r="G2" s="1503"/>
      <c r="H2" s="1503"/>
      <c r="I2" s="1503"/>
      <c r="J2" s="1503"/>
      <c r="K2" s="1503"/>
      <c r="L2" s="1495" t="str">
        <f>'Thong tin'!B4</f>
        <v>Cục THADS tỉnh Tuyên Quang</v>
      </c>
      <c r="M2" s="1495"/>
      <c r="N2" s="1495"/>
      <c r="P2" s="389"/>
    </row>
    <row r="3" spans="1:16" ht="16.5" customHeight="1">
      <c r="A3" s="417" t="s">
        <v>343</v>
      </c>
      <c r="B3" s="417"/>
      <c r="C3" s="414"/>
      <c r="D3" s="1497" t="str">
        <f>'Thong tin'!B3</f>
        <v>06 tháng / năm 2017</v>
      </c>
      <c r="E3" s="1497"/>
      <c r="F3" s="1497"/>
      <c r="G3" s="1497"/>
      <c r="H3" s="1497"/>
      <c r="I3" s="1497"/>
      <c r="J3" s="1497"/>
      <c r="K3" s="1497"/>
      <c r="L3" s="1494" t="s">
        <v>509</v>
      </c>
      <c r="M3" s="1494"/>
      <c r="N3" s="1494"/>
      <c r="P3" s="390"/>
    </row>
    <row r="4" spans="1:16" ht="16.5" customHeight="1">
      <c r="A4" s="418" t="s">
        <v>118</v>
      </c>
      <c r="B4" s="419"/>
      <c r="C4" s="420"/>
      <c r="D4" s="421"/>
      <c r="E4" s="421"/>
      <c r="F4" s="420"/>
      <c r="G4" s="422"/>
      <c r="H4" s="422"/>
      <c r="I4" s="422"/>
      <c r="J4" s="420"/>
      <c r="K4" s="421"/>
      <c r="L4" s="1495" t="s">
        <v>410</v>
      </c>
      <c r="M4" s="1495"/>
      <c r="N4" s="1495"/>
      <c r="P4" s="390"/>
    </row>
    <row r="5" spans="1:16" ht="16.5" customHeight="1">
      <c r="A5" s="423"/>
      <c r="B5" s="420"/>
      <c r="C5" s="420"/>
      <c r="D5" s="420"/>
      <c r="E5" s="420"/>
      <c r="F5" s="424"/>
      <c r="G5" s="425"/>
      <c r="H5" s="425"/>
      <c r="I5" s="425"/>
      <c r="J5" s="424"/>
      <c r="K5" s="426"/>
      <c r="L5" s="1496" t="s">
        <v>8</v>
      </c>
      <c r="M5" s="1496"/>
      <c r="N5" s="1496"/>
      <c r="P5" s="390"/>
    </row>
    <row r="6" spans="1:16" ht="18.75" customHeight="1">
      <c r="A6" s="1478" t="s">
        <v>68</v>
      </c>
      <c r="B6" s="1479"/>
      <c r="C6" s="1487" t="s">
        <v>37</v>
      </c>
      <c r="D6" s="1487" t="s">
        <v>335</v>
      </c>
      <c r="E6" s="1488"/>
      <c r="F6" s="1488"/>
      <c r="G6" s="1488"/>
      <c r="H6" s="1488"/>
      <c r="I6" s="1488"/>
      <c r="J6" s="1488"/>
      <c r="K6" s="1488"/>
      <c r="L6" s="1488"/>
      <c r="M6" s="1488"/>
      <c r="N6" s="1489"/>
      <c r="P6" s="390"/>
    </row>
    <row r="7" spans="1:16" ht="20.25" customHeight="1">
      <c r="A7" s="1480"/>
      <c r="B7" s="1481"/>
      <c r="C7" s="1501"/>
      <c r="D7" s="1491" t="s">
        <v>119</v>
      </c>
      <c r="E7" s="1498" t="s">
        <v>120</v>
      </c>
      <c r="F7" s="1499"/>
      <c r="G7" s="1500"/>
      <c r="H7" s="1474" t="s">
        <v>121</v>
      </c>
      <c r="I7" s="1474" t="s">
        <v>122</v>
      </c>
      <c r="J7" s="1474" t="s">
        <v>123</v>
      </c>
      <c r="K7" s="1474" t="s">
        <v>124</v>
      </c>
      <c r="L7" s="1474" t="s">
        <v>125</v>
      </c>
      <c r="M7" s="1474" t="s">
        <v>126</v>
      </c>
      <c r="N7" s="1474" t="s">
        <v>127</v>
      </c>
      <c r="O7" s="390"/>
      <c r="P7" s="390"/>
    </row>
    <row r="8" spans="1:16" ht="21" customHeight="1">
      <c r="A8" s="1480"/>
      <c r="B8" s="1481"/>
      <c r="C8" s="1501"/>
      <c r="D8" s="1491"/>
      <c r="E8" s="1473" t="s">
        <v>36</v>
      </c>
      <c r="F8" s="1476" t="s">
        <v>7</v>
      </c>
      <c r="G8" s="1477"/>
      <c r="H8" s="1474"/>
      <c r="I8" s="1474"/>
      <c r="J8" s="1474"/>
      <c r="K8" s="1474"/>
      <c r="L8" s="1474"/>
      <c r="M8" s="1474"/>
      <c r="N8" s="1474"/>
      <c r="O8" s="1504"/>
      <c r="P8" s="1504"/>
    </row>
    <row r="9" spans="1:16" ht="24.75" customHeight="1">
      <c r="A9" s="1482"/>
      <c r="B9" s="1483"/>
      <c r="C9" s="1501"/>
      <c r="D9" s="1492"/>
      <c r="E9" s="1475"/>
      <c r="F9" s="559" t="s">
        <v>199</v>
      </c>
      <c r="G9" s="560" t="s">
        <v>200</v>
      </c>
      <c r="H9" s="1475"/>
      <c r="I9" s="1475"/>
      <c r="J9" s="1475"/>
      <c r="K9" s="1475"/>
      <c r="L9" s="1475"/>
      <c r="M9" s="1475"/>
      <c r="N9" s="1475"/>
      <c r="O9" s="391"/>
      <c r="P9" s="391"/>
    </row>
    <row r="10" spans="1:16" s="393" customFormat="1" ht="18.75" customHeight="1">
      <c r="A10" s="1471" t="s">
        <v>39</v>
      </c>
      <c r="B10" s="1472"/>
      <c r="C10" s="505">
        <v>1</v>
      </c>
      <c r="D10" s="505">
        <v>2</v>
      </c>
      <c r="E10" s="505">
        <v>3</v>
      </c>
      <c r="F10" s="505">
        <v>4</v>
      </c>
      <c r="G10" s="505">
        <v>5</v>
      </c>
      <c r="H10" s="505">
        <v>6</v>
      </c>
      <c r="I10" s="505">
        <v>7</v>
      </c>
      <c r="J10" s="505">
        <v>8</v>
      </c>
      <c r="K10" s="505">
        <v>9</v>
      </c>
      <c r="L10" s="505">
        <v>10</v>
      </c>
      <c r="M10" s="505">
        <v>11</v>
      </c>
      <c r="N10" s="505">
        <v>12</v>
      </c>
      <c r="O10" s="392"/>
      <c r="P10" s="392"/>
    </row>
    <row r="11" spans="1:17" ht="22.5" customHeight="1">
      <c r="A11" s="506" t="s">
        <v>0</v>
      </c>
      <c r="B11" s="427" t="s">
        <v>130</v>
      </c>
      <c r="C11" s="806">
        <f aca="true" t="shared" si="0" ref="C11:C25">SUM(D11,E11,H11:N11)</f>
        <v>2920</v>
      </c>
      <c r="D11" s="807">
        <f>SUM(D12:D13)</f>
        <v>437</v>
      </c>
      <c r="E11" s="807">
        <f>SUM(E12:E13)</f>
        <v>1299</v>
      </c>
      <c r="F11" s="807">
        <f>SUM(F12:F13)</f>
        <v>198</v>
      </c>
      <c r="G11" s="807">
        <f aca="true" t="shared" si="1" ref="G11:M11">SUM(G12:G13)</f>
        <v>1101</v>
      </c>
      <c r="H11" s="807">
        <f>SUM(H12:H13)</f>
        <v>0</v>
      </c>
      <c r="I11" s="807">
        <f t="shared" si="1"/>
        <v>968</v>
      </c>
      <c r="J11" s="807">
        <f t="shared" si="1"/>
        <v>13</v>
      </c>
      <c r="K11" s="807">
        <f>SUM(K12:K13)</f>
        <v>2</v>
      </c>
      <c r="L11" s="807">
        <f t="shared" si="1"/>
        <v>0</v>
      </c>
      <c r="M11" s="807">
        <f t="shared" si="1"/>
        <v>0</v>
      </c>
      <c r="N11" s="807">
        <f>SUM(N12:N13)</f>
        <v>201</v>
      </c>
      <c r="O11" s="390"/>
      <c r="P11" s="390"/>
      <c r="Q11" s="428"/>
    </row>
    <row r="12" spans="1:16" ht="22.5" customHeight="1">
      <c r="A12" s="507">
        <v>1</v>
      </c>
      <c r="B12" s="429" t="s">
        <v>131</v>
      </c>
      <c r="C12" s="840">
        <f t="shared" si="0"/>
        <v>1056</v>
      </c>
      <c r="D12" s="810">
        <f>D41+D64+D87+D110+D133+D156+D180+D204</f>
        <v>199</v>
      </c>
      <c r="E12" s="808">
        <f>SUM(F12:G12)</f>
        <v>821</v>
      </c>
      <c r="F12" s="841">
        <f>F41+F64+F87+F110+F133+F156+F180+F204</f>
        <v>126</v>
      </c>
      <c r="G12" s="841">
        <f aca="true" t="shared" si="2" ref="G12:N12">G41+G64+G87+G110+G133+G156+G180+G204</f>
        <v>695</v>
      </c>
      <c r="H12" s="841">
        <f t="shared" si="2"/>
        <v>0</v>
      </c>
      <c r="I12" s="841">
        <f t="shared" si="2"/>
        <v>24</v>
      </c>
      <c r="J12" s="841">
        <f t="shared" si="2"/>
        <v>7</v>
      </c>
      <c r="K12" s="841">
        <f t="shared" si="2"/>
        <v>2</v>
      </c>
      <c r="L12" s="841">
        <f t="shared" si="2"/>
        <v>0</v>
      </c>
      <c r="M12" s="841">
        <f t="shared" si="2"/>
        <v>0</v>
      </c>
      <c r="N12" s="841">
        <f t="shared" si="2"/>
        <v>3</v>
      </c>
      <c r="O12" s="390"/>
      <c r="P12" s="390"/>
    </row>
    <row r="13" spans="1:16" ht="22.5" customHeight="1">
      <c r="A13" s="507">
        <v>2</v>
      </c>
      <c r="B13" s="429" t="s">
        <v>132</v>
      </c>
      <c r="C13" s="840">
        <f t="shared" si="0"/>
        <v>1864</v>
      </c>
      <c r="D13" s="810">
        <f>D42+D65+D88+D111+D134+D157+D181+D205</f>
        <v>238</v>
      </c>
      <c r="E13" s="808">
        <f>SUM(F13:G13)</f>
        <v>478</v>
      </c>
      <c r="F13" s="841">
        <f aca="true" t="shared" si="3" ref="F13:N14">F42+F65+F88+F111+F134+F157+F181+F205</f>
        <v>72</v>
      </c>
      <c r="G13" s="841">
        <f t="shared" si="3"/>
        <v>406</v>
      </c>
      <c r="H13" s="841">
        <f t="shared" si="3"/>
        <v>0</v>
      </c>
      <c r="I13" s="841">
        <f t="shared" si="3"/>
        <v>944</v>
      </c>
      <c r="J13" s="841">
        <f t="shared" si="3"/>
        <v>6</v>
      </c>
      <c r="K13" s="841">
        <f t="shared" si="3"/>
        <v>0</v>
      </c>
      <c r="L13" s="841">
        <f t="shared" si="3"/>
        <v>0</v>
      </c>
      <c r="M13" s="841">
        <f t="shared" si="3"/>
        <v>0</v>
      </c>
      <c r="N13" s="841">
        <f t="shared" si="3"/>
        <v>198</v>
      </c>
      <c r="O13" s="390"/>
      <c r="P13" s="390"/>
    </row>
    <row r="14" spans="1:16" ht="22.5" customHeight="1">
      <c r="A14" s="508" t="s">
        <v>1</v>
      </c>
      <c r="B14" s="394" t="s">
        <v>133</v>
      </c>
      <c r="C14" s="840">
        <f t="shared" si="0"/>
        <v>21</v>
      </c>
      <c r="D14" s="810">
        <f>D43+D66+D89+D112+D135+D158+D182+D206</f>
        <v>16</v>
      </c>
      <c r="E14" s="808">
        <f>SUM(F14:G14)</f>
        <v>5</v>
      </c>
      <c r="F14" s="841">
        <f t="shared" si="3"/>
        <v>2</v>
      </c>
      <c r="G14" s="841">
        <f t="shared" si="3"/>
        <v>3</v>
      </c>
      <c r="H14" s="841">
        <f t="shared" si="3"/>
        <v>0</v>
      </c>
      <c r="I14" s="841">
        <f t="shared" si="3"/>
        <v>0</v>
      </c>
      <c r="J14" s="841">
        <f t="shared" si="3"/>
        <v>0</v>
      </c>
      <c r="K14" s="841">
        <f t="shared" si="3"/>
        <v>0</v>
      </c>
      <c r="L14" s="841">
        <f t="shared" si="3"/>
        <v>0</v>
      </c>
      <c r="M14" s="841">
        <f t="shared" si="3"/>
        <v>0</v>
      </c>
      <c r="N14" s="841">
        <f t="shared" si="3"/>
        <v>0</v>
      </c>
      <c r="O14" s="390"/>
      <c r="P14" s="390"/>
    </row>
    <row r="15" spans="1:16" ht="22.5" customHeight="1">
      <c r="A15" s="508" t="s">
        <v>9</v>
      </c>
      <c r="B15" s="394" t="s">
        <v>134</v>
      </c>
      <c r="C15" s="840">
        <f t="shared" si="0"/>
        <v>0</v>
      </c>
      <c r="D15" s="810">
        <f>D44+D67+D90+D113+D159+D183+D207</f>
        <v>0</v>
      </c>
      <c r="E15" s="808">
        <f>SUM(F15:G15)</f>
        <v>0</v>
      </c>
      <c r="F15" s="841">
        <f aca="true" t="shared" si="4" ref="F15:N15">F44+F67+F90+F113+F136+F159+F183+F207</f>
        <v>0</v>
      </c>
      <c r="G15" s="841">
        <f t="shared" si="4"/>
        <v>0</v>
      </c>
      <c r="H15" s="841">
        <f t="shared" si="4"/>
        <v>0</v>
      </c>
      <c r="I15" s="841">
        <f t="shared" si="4"/>
        <v>0</v>
      </c>
      <c r="J15" s="841">
        <f t="shared" si="4"/>
        <v>0</v>
      </c>
      <c r="K15" s="841">
        <f t="shared" si="4"/>
        <v>0</v>
      </c>
      <c r="L15" s="841">
        <f t="shared" si="4"/>
        <v>0</v>
      </c>
      <c r="M15" s="841">
        <f t="shared" si="4"/>
        <v>0</v>
      </c>
      <c r="N15" s="841">
        <f t="shared" si="4"/>
        <v>0</v>
      </c>
      <c r="O15" s="390"/>
      <c r="P15" s="390"/>
    </row>
    <row r="16" spans="1:15" ht="22.5" customHeight="1">
      <c r="A16" s="508" t="s">
        <v>135</v>
      </c>
      <c r="B16" s="394" t="s">
        <v>136</v>
      </c>
      <c r="C16" s="806">
        <f t="shared" si="0"/>
        <v>2899</v>
      </c>
      <c r="D16" s="807">
        <f aca="true" t="shared" si="5" ref="D16:N16">D11-SUM(D14,D15)</f>
        <v>421</v>
      </c>
      <c r="E16" s="807">
        <f t="shared" si="5"/>
        <v>1294</v>
      </c>
      <c r="F16" s="807">
        <f t="shared" si="5"/>
        <v>196</v>
      </c>
      <c r="G16" s="807">
        <f t="shared" si="5"/>
        <v>1098</v>
      </c>
      <c r="H16" s="807">
        <f t="shared" si="5"/>
        <v>0</v>
      </c>
      <c r="I16" s="807">
        <f t="shared" si="5"/>
        <v>968</v>
      </c>
      <c r="J16" s="807">
        <f t="shared" si="5"/>
        <v>13</v>
      </c>
      <c r="K16" s="807">
        <f t="shared" si="5"/>
        <v>2</v>
      </c>
      <c r="L16" s="807">
        <f t="shared" si="5"/>
        <v>0</v>
      </c>
      <c r="M16" s="807">
        <f t="shared" si="5"/>
        <v>0</v>
      </c>
      <c r="N16" s="807">
        <f t="shared" si="5"/>
        <v>201</v>
      </c>
      <c r="O16" s="390"/>
    </row>
    <row r="17" spans="1:15" ht="22.5" customHeight="1">
      <c r="A17" s="508" t="s">
        <v>51</v>
      </c>
      <c r="B17" s="430" t="s">
        <v>137</v>
      </c>
      <c r="C17" s="806">
        <f t="shared" si="0"/>
        <v>2012</v>
      </c>
      <c r="D17" s="806">
        <f aca="true" t="shared" si="6" ref="D17:M17">D18+D19+D20+D21+D22+D23+D24</f>
        <v>283</v>
      </c>
      <c r="E17" s="806">
        <f>F17+G17</f>
        <v>563</v>
      </c>
      <c r="F17" s="806">
        <f>F18+F19+F20+F21+F22+F23+F24</f>
        <v>97</v>
      </c>
      <c r="G17" s="806">
        <f>G18+G19+G20+G21+G22+G23+G24</f>
        <v>466</v>
      </c>
      <c r="H17" s="806">
        <f>H18+H19+H20+H21+H22+H23+H24</f>
        <v>0</v>
      </c>
      <c r="I17" s="806">
        <f t="shared" si="6"/>
        <v>957</v>
      </c>
      <c r="J17" s="806">
        <f t="shared" si="6"/>
        <v>10</v>
      </c>
      <c r="K17" s="806">
        <f t="shared" si="6"/>
        <v>0</v>
      </c>
      <c r="L17" s="806">
        <f t="shared" si="6"/>
        <v>0</v>
      </c>
      <c r="M17" s="806">
        <f t="shared" si="6"/>
        <v>0</v>
      </c>
      <c r="N17" s="806">
        <f>N18+N19+N20+N21+N22+N23+N24</f>
        <v>199</v>
      </c>
      <c r="O17" s="390"/>
    </row>
    <row r="18" spans="1:15" ht="22.5" customHeight="1">
      <c r="A18" s="507" t="s">
        <v>53</v>
      </c>
      <c r="B18" s="429" t="s">
        <v>138</v>
      </c>
      <c r="C18" s="811">
        <f t="shared" si="0"/>
        <v>1751</v>
      </c>
      <c r="D18" s="842">
        <f>D47+D70+D93+D116+D139+D162+D186+D210</f>
        <v>197</v>
      </c>
      <c r="E18" s="842">
        <f>E47+E70+E93+E116+E139+E162+E186+E210</f>
        <v>444</v>
      </c>
      <c r="F18" s="842">
        <f>F47+F70+F93+F116+F139+F162+F186+F210</f>
        <v>84</v>
      </c>
      <c r="G18" s="842">
        <f aca="true" t="shared" si="7" ref="G18:N18">G47+G70+G93+G116+G139+G162+G186+G210</f>
        <v>360</v>
      </c>
      <c r="H18" s="842">
        <f t="shared" si="7"/>
        <v>0</v>
      </c>
      <c r="I18" s="842">
        <f t="shared" si="7"/>
        <v>924</v>
      </c>
      <c r="J18" s="842">
        <f t="shared" si="7"/>
        <v>4</v>
      </c>
      <c r="K18" s="842">
        <f t="shared" si="7"/>
        <v>0</v>
      </c>
      <c r="L18" s="842">
        <f t="shared" si="7"/>
        <v>0</v>
      </c>
      <c r="M18" s="842">
        <f t="shared" si="7"/>
        <v>0</v>
      </c>
      <c r="N18" s="842">
        <f t="shared" si="7"/>
        <v>182</v>
      </c>
      <c r="O18" s="390"/>
    </row>
    <row r="19" spans="1:15" ht="20.25" customHeight="1">
      <c r="A19" s="507" t="s">
        <v>54</v>
      </c>
      <c r="B19" s="429" t="s">
        <v>139</v>
      </c>
      <c r="C19" s="811">
        <f t="shared" si="0"/>
        <v>11</v>
      </c>
      <c r="D19" s="842">
        <f aca="true" t="shared" si="8" ref="D19:D24">D48+D71+D94+D117+D140+D163+D187+D211</f>
        <v>1</v>
      </c>
      <c r="E19" s="842">
        <f>E48+E71+E94+E117+E140+E163+E187+E211</f>
        <v>10</v>
      </c>
      <c r="F19" s="842">
        <f aca="true" t="shared" si="9" ref="F19:N24">F48+F71+F94+F117+F140+F163+F187+F211</f>
        <v>2</v>
      </c>
      <c r="G19" s="842">
        <f t="shared" si="9"/>
        <v>8</v>
      </c>
      <c r="H19" s="842">
        <f t="shared" si="9"/>
        <v>0</v>
      </c>
      <c r="I19" s="842">
        <f t="shared" si="9"/>
        <v>0</v>
      </c>
      <c r="J19" s="842">
        <f t="shared" si="9"/>
        <v>0</v>
      </c>
      <c r="K19" s="842">
        <f t="shared" si="9"/>
        <v>0</v>
      </c>
      <c r="L19" s="842">
        <f t="shared" si="9"/>
        <v>0</v>
      </c>
      <c r="M19" s="842">
        <f t="shared" si="9"/>
        <v>0</v>
      </c>
      <c r="N19" s="842">
        <f t="shared" si="9"/>
        <v>0</v>
      </c>
      <c r="O19" s="390"/>
    </row>
    <row r="20" spans="1:15" ht="21" customHeight="1">
      <c r="A20" s="507" t="s">
        <v>140</v>
      </c>
      <c r="B20" s="429" t="s">
        <v>141</v>
      </c>
      <c r="C20" s="811">
        <f>D20+E20+H20+I20+J20+K20+L20+M20+N20</f>
        <v>219</v>
      </c>
      <c r="D20" s="842">
        <f t="shared" si="8"/>
        <v>64</v>
      </c>
      <c r="E20" s="808">
        <f aca="true" t="shared" si="10" ref="E20:E25">SUM(F20:G20)</f>
        <v>105</v>
      </c>
      <c r="F20" s="842">
        <f t="shared" si="9"/>
        <v>11</v>
      </c>
      <c r="G20" s="842">
        <f t="shared" si="9"/>
        <v>94</v>
      </c>
      <c r="H20" s="842">
        <f t="shared" si="9"/>
        <v>0</v>
      </c>
      <c r="I20" s="842">
        <f t="shared" si="9"/>
        <v>28</v>
      </c>
      <c r="J20" s="842">
        <f t="shared" si="9"/>
        <v>6</v>
      </c>
      <c r="K20" s="842">
        <f t="shared" si="9"/>
        <v>0</v>
      </c>
      <c r="L20" s="842">
        <f t="shared" si="9"/>
        <v>0</v>
      </c>
      <c r="M20" s="842">
        <f t="shared" si="9"/>
        <v>0</v>
      </c>
      <c r="N20" s="842">
        <f t="shared" si="9"/>
        <v>16</v>
      </c>
      <c r="O20" s="390"/>
    </row>
    <row r="21" spans="1:15" ht="21" customHeight="1">
      <c r="A21" s="507" t="s">
        <v>142</v>
      </c>
      <c r="B21" s="429" t="s">
        <v>143</v>
      </c>
      <c r="C21" s="812">
        <f t="shared" si="0"/>
        <v>17</v>
      </c>
      <c r="D21" s="842">
        <f t="shared" si="8"/>
        <v>17</v>
      </c>
      <c r="E21" s="813">
        <f t="shared" si="10"/>
        <v>0</v>
      </c>
      <c r="F21" s="842">
        <f t="shared" si="9"/>
        <v>0</v>
      </c>
      <c r="G21" s="842">
        <f t="shared" si="9"/>
        <v>0</v>
      </c>
      <c r="H21" s="842">
        <f t="shared" si="9"/>
        <v>0</v>
      </c>
      <c r="I21" s="842">
        <f t="shared" si="9"/>
        <v>0</v>
      </c>
      <c r="J21" s="842">
        <f t="shared" si="9"/>
        <v>0</v>
      </c>
      <c r="K21" s="842">
        <f t="shared" si="9"/>
        <v>0</v>
      </c>
      <c r="L21" s="842">
        <f t="shared" si="9"/>
        <v>0</v>
      </c>
      <c r="M21" s="842">
        <f t="shared" si="9"/>
        <v>0</v>
      </c>
      <c r="N21" s="842">
        <f t="shared" si="9"/>
        <v>0</v>
      </c>
      <c r="O21" s="390"/>
    </row>
    <row r="22" spans="1:15" ht="21" customHeight="1">
      <c r="A22" s="507" t="s">
        <v>144</v>
      </c>
      <c r="B22" s="429" t="s">
        <v>145</v>
      </c>
      <c r="C22" s="811">
        <f t="shared" si="0"/>
        <v>5</v>
      </c>
      <c r="D22" s="842">
        <f t="shared" si="8"/>
        <v>3</v>
      </c>
      <c r="E22" s="808">
        <f>SUM(F22:G22)</f>
        <v>0</v>
      </c>
      <c r="F22" s="842">
        <f t="shared" si="9"/>
        <v>0</v>
      </c>
      <c r="G22" s="842">
        <f t="shared" si="9"/>
        <v>0</v>
      </c>
      <c r="H22" s="842">
        <f t="shared" si="9"/>
        <v>0</v>
      </c>
      <c r="I22" s="842">
        <f t="shared" si="9"/>
        <v>2</v>
      </c>
      <c r="J22" s="842">
        <f t="shared" si="9"/>
        <v>0</v>
      </c>
      <c r="K22" s="842">
        <f t="shared" si="9"/>
        <v>0</v>
      </c>
      <c r="L22" s="842">
        <f t="shared" si="9"/>
        <v>0</v>
      </c>
      <c r="M22" s="842">
        <f t="shared" si="9"/>
        <v>0</v>
      </c>
      <c r="N22" s="842">
        <f t="shared" si="9"/>
        <v>0</v>
      </c>
      <c r="O22" s="390"/>
    </row>
    <row r="23" spans="1:15" ht="25.5">
      <c r="A23" s="507" t="s">
        <v>146</v>
      </c>
      <c r="B23" s="431" t="s">
        <v>147</v>
      </c>
      <c r="C23" s="811">
        <f t="shared" si="0"/>
        <v>0</v>
      </c>
      <c r="D23" s="842">
        <f t="shared" si="8"/>
        <v>0</v>
      </c>
      <c r="E23" s="808">
        <f t="shared" si="10"/>
        <v>0</v>
      </c>
      <c r="F23" s="842">
        <f t="shared" si="9"/>
        <v>0</v>
      </c>
      <c r="G23" s="842">
        <f t="shared" si="9"/>
        <v>0</v>
      </c>
      <c r="H23" s="842">
        <f t="shared" si="9"/>
        <v>0</v>
      </c>
      <c r="I23" s="842">
        <f t="shared" si="9"/>
        <v>0</v>
      </c>
      <c r="J23" s="842">
        <f t="shared" si="9"/>
        <v>0</v>
      </c>
      <c r="K23" s="842">
        <f t="shared" si="9"/>
        <v>0</v>
      </c>
      <c r="L23" s="842">
        <f t="shared" si="9"/>
        <v>0</v>
      </c>
      <c r="M23" s="842">
        <f t="shared" si="9"/>
        <v>0</v>
      </c>
      <c r="N23" s="842">
        <f t="shared" si="9"/>
        <v>0</v>
      </c>
      <c r="O23" s="390"/>
    </row>
    <row r="24" spans="1:15" ht="21" customHeight="1">
      <c r="A24" s="507" t="s">
        <v>148</v>
      </c>
      <c r="B24" s="429" t="s">
        <v>149</v>
      </c>
      <c r="C24" s="811">
        <f t="shared" si="0"/>
        <v>9</v>
      </c>
      <c r="D24" s="842">
        <f t="shared" si="8"/>
        <v>1</v>
      </c>
      <c r="E24" s="808">
        <f t="shared" si="10"/>
        <v>4</v>
      </c>
      <c r="F24" s="842">
        <f t="shared" si="9"/>
        <v>0</v>
      </c>
      <c r="G24" s="842">
        <f t="shared" si="9"/>
        <v>4</v>
      </c>
      <c r="H24" s="842">
        <f t="shared" si="9"/>
        <v>0</v>
      </c>
      <c r="I24" s="842">
        <f t="shared" si="9"/>
        <v>3</v>
      </c>
      <c r="J24" s="842">
        <f t="shared" si="9"/>
        <v>0</v>
      </c>
      <c r="K24" s="842">
        <f t="shared" si="9"/>
        <v>0</v>
      </c>
      <c r="L24" s="842">
        <f t="shared" si="9"/>
        <v>0</v>
      </c>
      <c r="M24" s="842">
        <f t="shared" si="9"/>
        <v>0</v>
      </c>
      <c r="N24" s="842">
        <f t="shared" si="9"/>
        <v>1</v>
      </c>
      <c r="O24" s="390"/>
    </row>
    <row r="25" spans="1:15" ht="21" customHeight="1">
      <c r="A25" s="508" t="s">
        <v>52</v>
      </c>
      <c r="B25" s="394" t="s">
        <v>150</v>
      </c>
      <c r="C25" s="806">
        <f t="shared" si="0"/>
        <v>887</v>
      </c>
      <c r="D25" s="806">
        <f>D16-D17</f>
        <v>138</v>
      </c>
      <c r="E25" s="807">
        <f t="shared" si="10"/>
        <v>731</v>
      </c>
      <c r="F25" s="806">
        <f aca="true" t="shared" si="11" ref="F25:N25">F16-F17</f>
        <v>99</v>
      </c>
      <c r="G25" s="806">
        <f t="shared" si="11"/>
        <v>632</v>
      </c>
      <c r="H25" s="806">
        <f t="shared" si="11"/>
        <v>0</v>
      </c>
      <c r="I25" s="806">
        <f t="shared" si="11"/>
        <v>11</v>
      </c>
      <c r="J25" s="806">
        <f t="shared" si="11"/>
        <v>3</v>
      </c>
      <c r="K25" s="806">
        <f t="shared" si="11"/>
        <v>2</v>
      </c>
      <c r="L25" s="806">
        <f t="shared" si="11"/>
        <v>0</v>
      </c>
      <c r="M25" s="806">
        <f t="shared" si="11"/>
        <v>0</v>
      </c>
      <c r="N25" s="806">
        <f t="shared" si="11"/>
        <v>2</v>
      </c>
      <c r="O25" s="390"/>
    </row>
    <row r="26" spans="1:15" s="414" customFormat="1" ht="26.25">
      <c r="A26" s="508" t="s">
        <v>540</v>
      </c>
      <c r="B26" s="432" t="s">
        <v>151</v>
      </c>
      <c r="C26" s="413">
        <f>(C18+C19)/C17</f>
        <v>0.8757455268389662</v>
      </c>
      <c r="D26" s="413">
        <f aca="true" t="shared" si="12" ref="D26:N26">(D18+C19)/D17</f>
        <v>0.734982332155477</v>
      </c>
      <c r="E26" s="413">
        <f t="shared" si="12"/>
        <v>0.7904085257548845</v>
      </c>
      <c r="F26" s="413">
        <f t="shared" si="12"/>
        <v>0.9690721649484536</v>
      </c>
      <c r="G26" s="413">
        <f t="shared" si="12"/>
        <v>0.776824034334764</v>
      </c>
      <c r="H26" s="413" t="e">
        <f t="shared" si="12"/>
        <v>#DIV/0!</v>
      </c>
      <c r="I26" s="413">
        <f t="shared" si="12"/>
        <v>0.9655172413793104</v>
      </c>
      <c r="J26" s="413">
        <f t="shared" si="12"/>
        <v>0.4</v>
      </c>
      <c r="K26" s="413" t="e">
        <f t="shared" si="12"/>
        <v>#DIV/0!</v>
      </c>
      <c r="L26" s="413" t="e">
        <f t="shared" si="12"/>
        <v>#DIV/0!</v>
      </c>
      <c r="M26" s="413" t="e">
        <f t="shared" si="12"/>
        <v>#DIV/0!</v>
      </c>
      <c r="N26" s="413">
        <f t="shared" si="12"/>
        <v>0.914572864321608</v>
      </c>
      <c r="O26" s="390"/>
    </row>
    <row r="27" spans="1:15" s="414" customFormat="1" ht="15.75">
      <c r="A27" s="1155"/>
      <c r="B27" s="1156"/>
      <c r="C27" s="1157"/>
      <c r="D27" s="1157"/>
      <c r="E27" s="1157"/>
      <c r="F27" s="1157"/>
      <c r="G27" s="1157"/>
      <c r="H27" s="1157"/>
      <c r="I27" s="1157"/>
      <c r="J27" s="1157"/>
      <c r="K27" s="1157"/>
      <c r="L27" s="1157"/>
      <c r="M27" s="1157"/>
      <c r="N27" s="1157"/>
      <c r="O27" s="390"/>
    </row>
    <row r="28" spans="1:15" s="414" customFormat="1" ht="13.5" customHeight="1">
      <c r="A28" s="1155"/>
      <c r="B28" s="1156"/>
      <c r="C28" s="1157"/>
      <c r="D28" s="1157"/>
      <c r="E28" s="1157"/>
      <c r="F28" s="1157"/>
      <c r="G28" s="1157"/>
      <c r="H28" s="1157"/>
      <c r="I28" s="1157"/>
      <c r="J28" s="1157"/>
      <c r="K28" s="1157"/>
      <c r="L28" s="1157"/>
      <c r="M28" s="1157"/>
      <c r="N28" s="1157"/>
      <c r="O28" s="390"/>
    </row>
    <row r="29" spans="1:15" s="414" customFormat="1" ht="32.25" customHeight="1">
      <c r="A29" s="1155"/>
      <c r="B29" s="1156"/>
      <c r="C29" s="1157"/>
      <c r="D29" s="1157"/>
      <c r="E29" s="1157"/>
      <c r="F29" s="1157"/>
      <c r="G29" s="1157"/>
      <c r="H29" s="1157"/>
      <c r="I29" s="1157"/>
      <c r="J29" s="1157"/>
      <c r="K29" s="1157"/>
      <c r="L29" s="1157"/>
      <c r="M29" s="1157"/>
      <c r="N29" s="1157"/>
      <c r="O29" s="390"/>
    </row>
    <row r="30" spans="1:15" s="414" customFormat="1" ht="15.75" hidden="1">
      <c r="A30" s="1155"/>
      <c r="B30" s="1156"/>
      <c r="C30" s="1157"/>
      <c r="D30" s="1157"/>
      <c r="E30" s="1157"/>
      <c r="F30" s="1157"/>
      <c r="G30" s="1157"/>
      <c r="H30" s="1157"/>
      <c r="I30" s="1157"/>
      <c r="J30" s="1157"/>
      <c r="K30" s="1157"/>
      <c r="L30" s="1157"/>
      <c r="M30" s="1157"/>
      <c r="N30" s="1157"/>
      <c r="O30" s="390"/>
    </row>
    <row r="31" spans="1:15" s="414" customFormat="1" ht="16.5" customHeight="1" hidden="1">
      <c r="A31" s="1155"/>
      <c r="B31" s="1156"/>
      <c r="C31" s="1157"/>
      <c r="D31" s="1157"/>
      <c r="E31" s="1157"/>
      <c r="F31" s="1157"/>
      <c r="G31" s="1157"/>
      <c r="H31" s="1157"/>
      <c r="I31" s="1157"/>
      <c r="J31" s="1157"/>
      <c r="K31" s="1157"/>
      <c r="L31" s="1157"/>
      <c r="M31" s="1157"/>
      <c r="N31" s="1157"/>
      <c r="O31" s="390"/>
    </row>
    <row r="32" spans="1:15" s="414" customFormat="1" ht="15.75" hidden="1">
      <c r="A32" s="1155"/>
      <c r="B32" s="1156"/>
      <c r="C32" s="1157"/>
      <c r="D32" s="1157"/>
      <c r="E32" s="1157"/>
      <c r="F32" s="1157"/>
      <c r="G32" s="1157"/>
      <c r="H32" s="1157"/>
      <c r="I32" s="1157"/>
      <c r="J32" s="1157"/>
      <c r="K32" s="1157"/>
      <c r="L32" s="1157"/>
      <c r="M32" s="1157"/>
      <c r="N32" s="1157"/>
      <c r="O32" s="390"/>
    </row>
    <row r="33" ht="15" hidden="1"/>
    <row r="34" ht="15" hidden="1">
      <c r="B34" s="904" t="s">
        <v>737</v>
      </c>
    </row>
    <row r="35" spans="1:14" ht="15" customHeight="1" hidden="1">
      <c r="A35" s="1478" t="s">
        <v>68</v>
      </c>
      <c r="B35" s="1479"/>
      <c r="C35" s="1484" t="s">
        <v>37</v>
      </c>
      <c r="D35" s="1487" t="s">
        <v>335</v>
      </c>
      <c r="E35" s="1488"/>
      <c r="F35" s="1488"/>
      <c r="G35" s="1488"/>
      <c r="H35" s="1488"/>
      <c r="I35" s="1488"/>
      <c r="J35" s="1488"/>
      <c r="K35" s="1488"/>
      <c r="L35" s="1488"/>
      <c r="M35" s="1488"/>
      <c r="N35" s="1489"/>
    </row>
    <row r="36" spans="1:14" ht="15" customHeight="1" hidden="1">
      <c r="A36" s="1480"/>
      <c r="B36" s="1481"/>
      <c r="C36" s="1485"/>
      <c r="D36" s="1490" t="s">
        <v>119</v>
      </c>
      <c r="E36" s="1476" t="s">
        <v>120</v>
      </c>
      <c r="F36" s="1493"/>
      <c r="G36" s="1477"/>
      <c r="H36" s="1473" t="s">
        <v>121</v>
      </c>
      <c r="I36" s="1473" t="s">
        <v>122</v>
      </c>
      <c r="J36" s="1473" t="s">
        <v>123</v>
      </c>
      <c r="K36" s="1473" t="s">
        <v>124</v>
      </c>
      <c r="L36" s="1473" t="s">
        <v>125</v>
      </c>
      <c r="M36" s="1473" t="s">
        <v>126</v>
      </c>
      <c r="N36" s="1473" t="s">
        <v>127</v>
      </c>
    </row>
    <row r="37" spans="1:14" ht="15" hidden="1">
      <c r="A37" s="1480"/>
      <c r="B37" s="1481"/>
      <c r="C37" s="1485"/>
      <c r="D37" s="1491"/>
      <c r="E37" s="1473" t="s">
        <v>36</v>
      </c>
      <c r="F37" s="1476" t="s">
        <v>7</v>
      </c>
      <c r="G37" s="1477"/>
      <c r="H37" s="1474"/>
      <c r="I37" s="1474"/>
      <c r="J37" s="1474"/>
      <c r="K37" s="1474"/>
      <c r="L37" s="1474"/>
      <c r="M37" s="1474"/>
      <c r="N37" s="1474"/>
    </row>
    <row r="38" spans="1:14" ht="15" hidden="1">
      <c r="A38" s="1482"/>
      <c r="B38" s="1483"/>
      <c r="C38" s="1486"/>
      <c r="D38" s="1492"/>
      <c r="E38" s="1475"/>
      <c r="F38" s="559" t="s">
        <v>199</v>
      </c>
      <c r="G38" s="560" t="s">
        <v>200</v>
      </c>
      <c r="H38" s="1475"/>
      <c r="I38" s="1475"/>
      <c r="J38" s="1475"/>
      <c r="K38" s="1475"/>
      <c r="L38" s="1475"/>
      <c r="M38" s="1475"/>
      <c r="N38" s="1475"/>
    </row>
    <row r="39" spans="1:14" ht="15" hidden="1">
      <c r="A39" s="1471" t="s">
        <v>39</v>
      </c>
      <c r="B39" s="1472"/>
      <c r="C39" s="505">
        <v>1</v>
      </c>
      <c r="D39" s="505">
        <v>2</v>
      </c>
      <c r="E39" s="505">
        <v>3</v>
      </c>
      <c r="F39" s="505">
        <v>4</v>
      </c>
      <c r="G39" s="505">
        <v>5</v>
      </c>
      <c r="H39" s="505">
        <v>6</v>
      </c>
      <c r="I39" s="505">
        <v>7</v>
      </c>
      <c r="J39" s="505">
        <v>8</v>
      </c>
      <c r="K39" s="505">
        <v>9</v>
      </c>
      <c r="L39" s="505">
        <v>10</v>
      </c>
      <c r="M39" s="505">
        <v>11</v>
      </c>
      <c r="N39" s="505">
        <v>12</v>
      </c>
    </row>
    <row r="40" spans="1:14" ht="15" hidden="1">
      <c r="A40" s="506" t="s">
        <v>0</v>
      </c>
      <c r="B40" s="427" t="s">
        <v>130</v>
      </c>
      <c r="C40" s="806">
        <f aca="true" t="shared" si="13" ref="C40:C45">SUM(D40,E40,H40:N40)</f>
        <v>120</v>
      </c>
      <c r="D40" s="807">
        <f aca="true" t="shared" si="14" ref="D40:N40">SUM(D41:D42)</f>
        <v>3</v>
      </c>
      <c r="E40" s="807">
        <f t="shared" si="14"/>
        <v>116</v>
      </c>
      <c r="F40" s="807">
        <f t="shared" si="14"/>
        <v>12</v>
      </c>
      <c r="G40" s="807">
        <f t="shared" si="14"/>
        <v>104</v>
      </c>
      <c r="H40" s="807">
        <f t="shared" si="14"/>
        <v>0</v>
      </c>
      <c r="I40" s="807">
        <f t="shared" si="14"/>
        <v>0</v>
      </c>
      <c r="J40" s="807">
        <f t="shared" si="14"/>
        <v>1</v>
      </c>
      <c r="K40" s="807">
        <f t="shared" si="14"/>
        <v>0</v>
      </c>
      <c r="L40" s="807">
        <f t="shared" si="14"/>
        <v>0</v>
      </c>
      <c r="M40" s="807">
        <f t="shared" si="14"/>
        <v>0</v>
      </c>
      <c r="N40" s="807">
        <f t="shared" si="14"/>
        <v>0</v>
      </c>
    </row>
    <row r="41" spans="1:14" ht="15" hidden="1">
      <c r="A41" s="507">
        <v>1</v>
      </c>
      <c r="B41" s="429" t="s">
        <v>131</v>
      </c>
      <c r="C41" s="840">
        <f t="shared" si="13"/>
        <v>50</v>
      </c>
      <c r="D41" s="810">
        <v>3</v>
      </c>
      <c r="E41" s="808">
        <f>SUM(F41:G41)</f>
        <v>46</v>
      </c>
      <c r="F41" s="810">
        <v>11</v>
      </c>
      <c r="G41" s="810">
        <v>35</v>
      </c>
      <c r="H41" s="810">
        <v>0</v>
      </c>
      <c r="I41" s="810">
        <v>0</v>
      </c>
      <c r="J41" s="810">
        <v>1</v>
      </c>
      <c r="K41" s="810">
        <v>0</v>
      </c>
      <c r="L41" s="810">
        <v>0</v>
      </c>
      <c r="M41" s="810">
        <v>0</v>
      </c>
      <c r="N41" s="810">
        <v>0</v>
      </c>
    </row>
    <row r="42" spans="1:14" ht="15" hidden="1">
      <c r="A42" s="507">
        <v>2</v>
      </c>
      <c r="B42" s="429" t="s">
        <v>132</v>
      </c>
      <c r="C42" s="840">
        <f t="shared" si="13"/>
        <v>70</v>
      </c>
      <c r="D42" s="810">
        <v>0</v>
      </c>
      <c r="E42" s="808">
        <f>SUM(F42:G42)</f>
        <v>70</v>
      </c>
      <c r="F42" s="810">
        <v>1</v>
      </c>
      <c r="G42" s="810">
        <v>69</v>
      </c>
      <c r="H42" s="810">
        <v>0</v>
      </c>
      <c r="I42" s="810">
        <v>0</v>
      </c>
      <c r="J42" s="810">
        <v>0</v>
      </c>
      <c r="K42" s="810">
        <v>0</v>
      </c>
      <c r="L42" s="810">
        <v>0</v>
      </c>
      <c r="M42" s="810">
        <v>0</v>
      </c>
      <c r="N42" s="810">
        <v>0</v>
      </c>
    </row>
    <row r="43" spans="1:14" ht="15" hidden="1">
      <c r="A43" s="508" t="s">
        <v>1</v>
      </c>
      <c r="B43" s="394" t="s">
        <v>133</v>
      </c>
      <c r="C43" s="840">
        <f t="shared" si="13"/>
        <v>0</v>
      </c>
      <c r="D43" s="810">
        <v>0</v>
      </c>
      <c r="E43" s="808">
        <f>SUM(F43:G43)</f>
        <v>0</v>
      </c>
      <c r="F43" s="962"/>
      <c r="G43" s="962"/>
      <c r="H43" s="962">
        <v>0</v>
      </c>
      <c r="I43" s="962">
        <v>0</v>
      </c>
      <c r="J43" s="962">
        <v>0</v>
      </c>
      <c r="K43" s="962">
        <v>0</v>
      </c>
      <c r="L43" s="962">
        <v>0</v>
      </c>
      <c r="M43" s="962">
        <v>0</v>
      </c>
      <c r="N43" s="962">
        <v>0</v>
      </c>
    </row>
    <row r="44" spans="1:14" ht="0.75" customHeight="1" hidden="1">
      <c r="A44" s="508" t="s">
        <v>9</v>
      </c>
      <c r="B44" s="394" t="s">
        <v>134</v>
      </c>
      <c r="C44" s="840">
        <f t="shared" si="13"/>
        <v>0</v>
      </c>
      <c r="D44" s="810"/>
      <c r="E44" s="808">
        <f>SUM(F44:G44)</f>
        <v>0</v>
      </c>
      <c r="F44" s="841"/>
      <c r="G44" s="841"/>
      <c r="H44" s="841"/>
      <c r="I44" s="841"/>
      <c r="J44" s="841"/>
      <c r="K44" s="841"/>
      <c r="L44" s="841"/>
      <c r="M44" s="841"/>
      <c r="N44" s="841"/>
    </row>
    <row r="45" spans="1:14" ht="15" hidden="1">
      <c r="A45" s="508" t="s">
        <v>135</v>
      </c>
      <c r="B45" s="394" t="s">
        <v>136</v>
      </c>
      <c r="C45" s="806">
        <f t="shared" si="13"/>
        <v>120</v>
      </c>
      <c r="D45" s="807">
        <f>D40-SUM(D43,D44)</f>
        <v>3</v>
      </c>
      <c r="E45" s="807">
        <f>E40-SUM(E43,E44)</f>
        <v>116</v>
      </c>
      <c r="F45" s="807">
        <f aca="true" t="shared" si="15" ref="F45:M45">F40-SUM(F43,F44)</f>
        <v>12</v>
      </c>
      <c r="G45" s="807">
        <f t="shared" si="15"/>
        <v>104</v>
      </c>
      <c r="H45" s="807">
        <f t="shared" si="15"/>
        <v>0</v>
      </c>
      <c r="I45" s="807">
        <f t="shared" si="15"/>
        <v>0</v>
      </c>
      <c r="J45" s="807">
        <f t="shared" si="15"/>
        <v>1</v>
      </c>
      <c r="K45" s="807">
        <f t="shared" si="15"/>
        <v>0</v>
      </c>
      <c r="L45" s="807">
        <f t="shared" si="15"/>
        <v>0</v>
      </c>
      <c r="M45" s="807">
        <f t="shared" si="15"/>
        <v>0</v>
      </c>
      <c r="N45" s="807">
        <f>N40-SUM(N43,N44)</f>
        <v>0</v>
      </c>
    </row>
    <row r="46" spans="1:14" ht="15" hidden="1">
      <c r="A46" s="508" t="s">
        <v>51</v>
      </c>
      <c r="B46" s="430" t="s">
        <v>137</v>
      </c>
      <c r="C46" s="806">
        <f>C47+C48+C49+C50+C51+C52+C53</f>
        <v>72</v>
      </c>
      <c r="D46" s="806">
        <f>D47+D48+D49+D50+D51+D52+D53</f>
        <v>3</v>
      </c>
      <c r="E46" s="806">
        <f>F46+G46</f>
        <v>69</v>
      </c>
      <c r="F46" s="806">
        <f aca="true" t="shared" si="16" ref="F46:M46">F47+F48+F49+F50+F51+F52+F53</f>
        <v>1</v>
      </c>
      <c r="G46" s="806">
        <f t="shared" si="16"/>
        <v>68</v>
      </c>
      <c r="H46" s="806">
        <f t="shared" si="16"/>
        <v>0</v>
      </c>
      <c r="I46" s="806">
        <f t="shared" si="16"/>
        <v>0</v>
      </c>
      <c r="J46" s="806">
        <f t="shared" si="16"/>
        <v>0</v>
      </c>
      <c r="K46" s="806">
        <f t="shared" si="16"/>
        <v>0</v>
      </c>
      <c r="L46" s="806">
        <f t="shared" si="16"/>
        <v>0</v>
      </c>
      <c r="M46" s="806">
        <f t="shared" si="16"/>
        <v>0</v>
      </c>
      <c r="N46" s="806">
        <f>N47+N48+N49+N50+N51+N52+N53</f>
        <v>0</v>
      </c>
    </row>
    <row r="47" spans="1:14" ht="15.75" hidden="1">
      <c r="A47" s="507" t="s">
        <v>53</v>
      </c>
      <c r="B47" s="429" t="s">
        <v>138</v>
      </c>
      <c r="C47" s="811">
        <f aca="true" t="shared" si="17" ref="C47:C53">SUM(D47,E47,H47:N47)</f>
        <v>60</v>
      </c>
      <c r="D47" s="1035">
        <v>3</v>
      </c>
      <c r="E47" s="808">
        <f aca="true" t="shared" si="18" ref="E47:E53">SUM(F47:G47)</f>
        <v>57</v>
      </c>
      <c r="F47" s="810">
        <v>1</v>
      </c>
      <c r="G47" s="810">
        <v>56</v>
      </c>
      <c r="H47" s="810">
        <v>0</v>
      </c>
      <c r="I47" s="810">
        <v>0</v>
      </c>
      <c r="J47" s="810">
        <v>0</v>
      </c>
      <c r="K47" s="1035">
        <v>0</v>
      </c>
      <c r="L47" s="1035">
        <v>0</v>
      </c>
      <c r="M47" s="1035">
        <v>0</v>
      </c>
      <c r="N47" s="1035">
        <v>0</v>
      </c>
    </row>
    <row r="48" spans="1:14" ht="15" hidden="1">
      <c r="A48" s="507" t="s">
        <v>54</v>
      </c>
      <c r="B48" s="429" t="s">
        <v>139</v>
      </c>
      <c r="C48" s="811">
        <f t="shared" si="17"/>
        <v>0</v>
      </c>
      <c r="D48" s="810">
        <v>0</v>
      </c>
      <c r="E48" s="808">
        <f t="shared" si="18"/>
        <v>0</v>
      </c>
      <c r="F48" s="810">
        <v>0</v>
      </c>
      <c r="G48" s="810">
        <v>0</v>
      </c>
      <c r="H48" s="810">
        <v>0</v>
      </c>
      <c r="I48" s="810">
        <v>0</v>
      </c>
      <c r="J48" s="810">
        <v>0</v>
      </c>
      <c r="K48" s="810">
        <v>0</v>
      </c>
      <c r="L48" s="810">
        <v>0</v>
      </c>
      <c r="M48" s="810">
        <v>0</v>
      </c>
      <c r="N48" s="810">
        <v>0</v>
      </c>
    </row>
    <row r="49" spans="1:14" ht="15" hidden="1">
      <c r="A49" s="507" t="s">
        <v>140</v>
      </c>
      <c r="B49" s="429" t="s">
        <v>141</v>
      </c>
      <c r="C49" s="811">
        <f t="shared" si="17"/>
        <v>12</v>
      </c>
      <c r="D49" s="810">
        <v>0</v>
      </c>
      <c r="E49" s="808">
        <f t="shared" si="18"/>
        <v>12</v>
      </c>
      <c r="F49" s="810">
        <v>0</v>
      </c>
      <c r="G49" s="810">
        <v>12</v>
      </c>
      <c r="H49" s="810">
        <v>0</v>
      </c>
      <c r="I49" s="810">
        <v>0</v>
      </c>
      <c r="J49" s="810">
        <v>0</v>
      </c>
      <c r="K49" s="810">
        <v>0</v>
      </c>
      <c r="L49" s="810">
        <v>0</v>
      </c>
      <c r="M49" s="810">
        <v>0</v>
      </c>
      <c r="N49" s="810">
        <v>0</v>
      </c>
    </row>
    <row r="50" spans="1:14" ht="15.75" hidden="1">
      <c r="A50" s="507" t="s">
        <v>142</v>
      </c>
      <c r="B50" s="429" t="s">
        <v>143</v>
      </c>
      <c r="C50" s="812">
        <f t="shared" si="17"/>
        <v>0</v>
      </c>
      <c r="D50" s="810">
        <v>0</v>
      </c>
      <c r="E50" s="813">
        <f t="shared" si="18"/>
        <v>0</v>
      </c>
      <c r="F50" s="906"/>
      <c r="G50" s="906"/>
      <c r="H50" s="906"/>
      <c r="I50" s="906"/>
      <c r="J50" s="906"/>
      <c r="K50" s="906"/>
      <c r="L50" s="906"/>
      <c r="M50" s="906"/>
      <c r="N50" s="906"/>
    </row>
    <row r="51" spans="1:14" ht="15.75" hidden="1">
      <c r="A51" s="507" t="s">
        <v>144</v>
      </c>
      <c r="B51" s="429" t="s">
        <v>145</v>
      </c>
      <c r="C51" s="811">
        <f t="shared" si="17"/>
        <v>0</v>
      </c>
      <c r="D51" s="818"/>
      <c r="E51" s="808">
        <f t="shared" si="18"/>
        <v>0</v>
      </c>
      <c r="F51" s="906"/>
      <c r="G51" s="906"/>
      <c r="H51" s="906"/>
      <c r="I51" s="906"/>
      <c r="J51" s="906"/>
      <c r="K51" s="906"/>
      <c r="L51" s="906"/>
      <c r="M51" s="906"/>
      <c r="N51" s="906"/>
    </row>
    <row r="52" spans="1:14" ht="25.5" hidden="1">
      <c r="A52" s="507" t="s">
        <v>146</v>
      </c>
      <c r="B52" s="431" t="s">
        <v>147</v>
      </c>
      <c r="C52" s="811">
        <f t="shared" si="17"/>
        <v>0</v>
      </c>
      <c r="D52" s="818"/>
      <c r="E52" s="808">
        <f t="shared" si="18"/>
        <v>0</v>
      </c>
      <c r="F52" s="906"/>
      <c r="G52" s="906"/>
      <c r="H52" s="906"/>
      <c r="I52" s="906"/>
      <c r="J52" s="906"/>
      <c r="K52" s="906"/>
      <c r="L52" s="906"/>
      <c r="M52" s="906"/>
      <c r="N52" s="906"/>
    </row>
    <row r="53" spans="1:14" ht="15.75" hidden="1">
      <c r="A53" s="507" t="s">
        <v>148</v>
      </c>
      <c r="B53" s="429" t="s">
        <v>149</v>
      </c>
      <c r="C53" s="811">
        <f t="shared" si="17"/>
        <v>0</v>
      </c>
      <c r="D53" s="818"/>
      <c r="E53" s="808">
        <f t="shared" si="18"/>
        <v>0</v>
      </c>
      <c r="F53" s="406">
        <f>0+0+0</f>
        <v>0</v>
      </c>
      <c r="G53" s="841"/>
      <c r="H53" s="841">
        <f>0+0+0</f>
        <v>0</v>
      </c>
      <c r="I53" s="841"/>
      <c r="J53" s="841"/>
      <c r="K53" s="841"/>
      <c r="L53" s="841"/>
      <c r="M53" s="841"/>
      <c r="N53" s="841"/>
    </row>
    <row r="54" spans="1:14" ht="15" hidden="1">
      <c r="A54" s="508" t="s">
        <v>52</v>
      </c>
      <c r="B54" s="394" t="s">
        <v>150</v>
      </c>
      <c r="C54" s="806">
        <f>SUM(D54,E54,H54:N54)</f>
        <v>48</v>
      </c>
      <c r="D54" s="806">
        <f>D45-D46</f>
        <v>0</v>
      </c>
      <c r="E54" s="807">
        <f>SUM(F54:G54)</f>
        <v>47</v>
      </c>
      <c r="F54" s="806">
        <f aca="true" t="shared" si="19" ref="F54:N54">F45-F46</f>
        <v>11</v>
      </c>
      <c r="G54" s="806">
        <f t="shared" si="19"/>
        <v>36</v>
      </c>
      <c r="H54" s="806">
        <f t="shared" si="19"/>
        <v>0</v>
      </c>
      <c r="I54" s="806">
        <f t="shared" si="19"/>
        <v>0</v>
      </c>
      <c r="J54" s="806">
        <f t="shared" si="19"/>
        <v>1</v>
      </c>
      <c r="K54" s="806">
        <f t="shared" si="19"/>
        <v>0</v>
      </c>
      <c r="L54" s="806">
        <f t="shared" si="19"/>
        <v>0</v>
      </c>
      <c r="M54" s="806">
        <f t="shared" si="19"/>
        <v>0</v>
      </c>
      <c r="N54" s="806">
        <f t="shared" si="19"/>
        <v>0</v>
      </c>
    </row>
    <row r="55" spans="1:14" ht="25.5" hidden="1">
      <c r="A55" s="508" t="s">
        <v>540</v>
      </c>
      <c r="B55" s="432" t="s">
        <v>151</v>
      </c>
      <c r="C55" s="413">
        <f>(C47+C48)/C46</f>
        <v>0.8333333333333334</v>
      </c>
      <c r="D55" s="413">
        <f aca="true" t="shared" si="20" ref="D55:N55">(D47+C48)/D46</f>
        <v>1</v>
      </c>
      <c r="E55" s="413">
        <f t="shared" si="20"/>
        <v>0.8260869565217391</v>
      </c>
      <c r="F55" s="413">
        <f t="shared" si="20"/>
        <v>1</v>
      </c>
      <c r="G55" s="413">
        <f t="shared" si="20"/>
        <v>0.8235294117647058</v>
      </c>
      <c r="H55" s="413" t="e">
        <f t="shared" si="20"/>
        <v>#DIV/0!</v>
      </c>
      <c r="I55" s="413" t="e">
        <f t="shared" si="20"/>
        <v>#DIV/0!</v>
      </c>
      <c r="J55" s="413" t="e">
        <f t="shared" si="20"/>
        <v>#DIV/0!</v>
      </c>
      <c r="K55" s="413" t="e">
        <f t="shared" si="20"/>
        <v>#DIV/0!</v>
      </c>
      <c r="L55" s="413" t="e">
        <f t="shared" si="20"/>
        <v>#DIV/0!</v>
      </c>
      <c r="M55" s="413" t="e">
        <f t="shared" si="20"/>
        <v>#DIV/0!</v>
      </c>
      <c r="N55" s="413" t="e">
        <f t="shared" si="20"/>
        <v>#DIV/0!</v>
      </c>
    </row>
    <row r="56" ht="15" hidden="1"/>
    <row r="57" ht="15" hidden="1">
      <c r="B57" s="905" t="s">
        <v>505</v>
      </c>
    </row>
    <row r="58" spans="1:14" ht="15" customHeight="1" hidden="1">
      <c r="A58" s="1478" t="s">
        <v>68</v>
      </c>
      <c r="B58" s="1479"/>
      <c r="C58" s="1484" t="s">
        <v>37</v>
      </c>
      <c r="D58" s="1487" t="s">
        <v>335</v>
      </c>
      <c r="E58" s="1488"/>
      <c r="F58" s="1488"/>
      <c r="G58" s="1488"/>
      <c r="H58" s="1488"/>
      <c r="I58" s="1488"/>
      <c r="J58" s="1488"/>
      <c r="K58" s="1488"/>
      <c r="L58" s="1488"/>
      <c r="M58" s="1488"/>
      <c r="N58" s="1489"/>
    </row>
    <row r="59" spans="1:14" ht="15" customHeight="1" hidden="1">
      <c r="A59" s="1480"/>
      <c r="B59" s="1481"/>
      <c r="C59" s="1485"/>
      <c r="D59" s="1490" t="s">
        <v>119</v>
      </c>
      <c r="E59" s="1476" t="s">
        <v>120</v>
      </c>
      <c r="F59" s="1493"/>
      <c r="G59" s="1477"/>
      <c r="H59" s="1473" t="s">
        <v>121</v>
      </c>
      <c r="I59" s="1473" t="s">
        <v>122</v>
      </c>
      <c r="J59" s="1473" t="s">
        <v>123</v>
      </c>
      <c r="K59" s="1473" t="s">
        <v>124</v>
      </c>
      <c r="L59" s="1473" t="s">
        <v>125</v>
      </c>
      <c r="M59" s="1473" t="s">
        <v>126</v>
      </c>
      <c r="N59" s="1473" t="s">
        <v>127</v>
      </c>
    </row>
    <row r="60" spans="1:14" ht="15" hidden="1">
      <c r="A60" s="1480"/>
      <c r="B60" s="1481"/>
      <c r="C60" s="1485"/>
      <c r="D60" s="1491"/>
      <c r="E60" s="1473" t="s">
        <v>36</v>
      </c>
      <c r="F60" s="1476" t="s">
        <v>7</v>
      </c>
      <c r="G60" s="1477"/>
      <c r="H60" s="1474"/>
      <c r="I60" s="1474"/>
      <c r="J60" s="1474"/>
      <c r="K60" s="1474"/>
      <c r="L60" s="1474"/>
      <c r="M60" s="1474"/>
      <c r="N60" s="1474"/>
    </row>
    <row r="61" spans="1:14" ht="15" hidden="1">
      <c r="A61" s="1482"/>
      <c r="B61" s="1483"/>
      <c r="C61" s="1486"/>
      <c r="D61" s="1492"/>
      <c r="E61" s="1475"/>
      <c r="F61" s="559" t="s">
        <v>199</v>
      </c>
      <c r="G61" s="560" t="s">
        <v>200</v>
      </c>
      <c r="H61" s="1475"/>
      <c r="I61" s="1475"/>
      <c r="J61" s="1475"/>
      <c r="K61" s="1475"/>
      <c r="L61" s="1475"/>
      <c r="M61" s="1475"/>
      <c r="N61" s="1475"/>
    </row>
    <row r="62" spans="1:14" ht="15" hidden="1">
      <c r="A62" s="1471" t="s">
        <v>39</v>
      </c>
      <c r="B62" s="1472"/>
      <c r="C62" s="505">
        <v>1</v>
      </c>
      <c r="D62" s="505">
        <v>2</v>
      </c>
      <c r="E62" s="505">
        <v>3</v>
      </c>
      <c r="F62" s="505">
        <v>4</v>
      </c>
      <c r="G62" s="505">
        <v>5</v>
      </c>
      <c r="H62" s="505">
        <v>6</v>
      </c>
      <c r="I62" s="505">
        <v>7</v>
      </c>
      <c r="J62" s="505">
        <v>8</v>
      </c>
      <c r="K62" s="505">
        <v>9</v>
      </c>
      <c r="L62" s="505">
        <v>10</v>
      </c>
      <c r="M62" s="505">
        <v>11</v>
      </c>
      <c r="N62" s="505">
        <v>12</v>
      </c>
    </row>
    <row r="63" spans="1:14" ht="15" hidden="1">
      <c r="A63" s="506" t="s">
        <v>0</v>
      </c>
      <c r="B63" s="427" t="s">
        <v>130</v>
      </c>
      <c r="C63" s="806">
        <f aca="true" t="shared" si="21" ref="C63:C68">SUM(D63,E63,H63:N63)</f>
        <v>707</v>
      </c>
      <c r="D63" s="807">
        <f aca="true" t="shared" si="22" ref="D63:N63">SUM(D64:D65)</f>
        <v>212</v>
      </c>
      <c r="E63" s="807">
        <f t="shared" si="22"/>
        <v>229</v>
      </c>
      <c r="F63" s="807">
        <f t="shared" si="22"/>
        <v>54</v>
      </c>
      <c r="G63" s="807">
        <f t="shared" si="22"/>
        <v>175</v>
      </c>
      <c r="H63" s="807">
        <f t="shared" si="22"/>
        <v>0</v>
      </c>
      <c r="I63" s="807">
        <f t="shared" si="22"/>
        <v>246</v>
      </c>
      <c r="J63" s="807">
        <f t="shared" si="22"/>
        <v>10</v>
      </c>
      <c r="K63" s="807">
        <f t="shared" si="22"/>
        <v>2</v>
      </c>
      <c r="L63" s="807">
        <f t="shared" si="22"/>
        <v>0</v>
      </c>
      <c r="M63" s="807">
        <f t="shared" si="22"/>
        <v>0</v>
      </c>
      <c r="N63" s="807">
        <f t="shared" si="22"/>
        <v>8</v>
      </c>
    </row>
    <row r="64" spans="1:14" ht="15" hidden="1">
      <c r="A64" s="507">
        <v>1</v>
      </c>
      <c r="B64" s="429" t="s">
        <v>131</v>
      </c>
      <c r="C64" s="840">
        <f t="shared" si="21"/>
        <v>230</v>
      </c>
      <c r="D64" s="841">
        <v>91</v>
      </c>
      <c r="E64" s="808">
        <f>SUM(F64:G64)</f>
        <v>128</v>
      </c>
      <c r="F64" s="841">
        <v>26</v>
      </c>
      <c r="G64" s="841">
        <v>102</v>
      </c>
      <c r="H64" s="841">
        <v>0</v>
      </c>
      <c r="I64" s="841">
        <v>5</v>
      </c>
      <c r="J64" s="841">
        <v>4</v>
      </c>
      <c r="K64" s="841">
        <v>2</v>
      </c>
      <c r="L64" s="841">
        <v>0</v>
      </c>
      <c r="M64" s="841">
        <v>0</v>
      </c>
      <c r="N64" s="841">
        <v>0</v>
      </c>
    </row>
    <row r="65" spans="1:14" ht="15" hidden="1">
      <c r="A65" s="507">
        <v>2</v>
      </c>
      <c r="B65" s="429" t="s">
        <v>132</v>
      </c>
      <c r="C65" s="840">
        <f t="shared" si="21"/>
        <v>477</v>
      </c>
      <c r="D65" s="841">
        <v>121</v>
      </c>
      <c r="E65" s="808">
        <f>SUM(F65:G65)</f>
        <v>101</v>
      </c>
      <c r="F65" s="841">
        <v>28</v>
      </c>
      <c r="G65" s="841">
        <v>73</v>
      </c>
      <c r="H65" s="841">
        <v>0</v>
      </c>
      <c r="I65" s="841">
        <v>241</v>
      </c>
      <c r="J65" s="841">
        <v>6</v>
      </c>
      <c r="K65" s="841">
        <v>0</v>
      </c>
      <c r="L65" s="841">
        <v>0</v>
      </c>
      <c r="M65" s="841">
        <v>0</v>
      </c>
      <c r="N65" s="841">
        <v>8</v>
      </c>
    </row>
    <row r="66" spans="1:14" ht="15" hidden="1">
      <c r="A66" s="508" t="s">
        <v>1</v>
      </c>
      <c r="B66" s="394" t="s">
        <v>133</v>
      </c>
      <c r="C66" s="840">
        <f t="shared" si="21"/>
        <v>16</v>
      </c>
      <c r="D66" s="841">
        <v>14</v>
      </c>
      <c r="E66" s="808">
        <f>SUM(F66:G66)</f>
        <v>2</v>
      </c>
      <c r="F66" s="841">
        <v>1</v>
      </c>
      <c r="G66" s="841">
        <v>1</v>
      </c>
      <c r="H66" s="841">
        <v>0</v>
      </c>
      <c r="I66" s="841">
        <v>0</v>
      </c>
      <c r="J66" s="841">
        <v>0</v>
      </c>
      <c r="K66" s="841">
        <v>0</v>
      </c>
      <c r="L66" s="841">
        <v>0</v>
      </c>
      <c r="M66" s="841">
        <v>0</v>
      </c>
      <c r="N66" s="841">
        <v>0</v>
      </c>
    </row>
    <row r="67" spans="1:14" ht="15" hidden="1">
      <c r="A67" s="508" t="s">
        <v>9</v>
      </c>
      <c r="B67" s="394" t="s">
        <v>134</v>
      </c>
      <c r="C67" s="840">
        <f t="shared" si="21"/>
        <v>0</v>
      </c>
      <c r="D67" s="962"/>
      <c r="E67" s="808">
        <f>SUM(F67:G67)</f>
        <v>0</v>
      </c>
      <c r="F67" s="841"/>
      <c r="G67" s="841"/>
      <c r="H67" s="841"/>
      <c r="I67" s="841"/>
      <c r="J67" s="841"/>
      <c r="K67" s="841"/>
      <c r="L67" s="841"/>
      <c r="M67" s="841"/>
      <c r="N67" s="841"/>
    </row>
    <row r="68" spans="1:14" ht="15" hidden="1">
      <c r="A68" s="508" t="s">
        <v>135</v>
      </c>
      <c r="B68" s="394" t="s">
        <v>136</v>
      </c>
      <c r="C68" s="806">
        <f t="shared" si="21"/>
        <v>691</v>
      </c>
      <c r="D68" s="807">
        <f>D63-SUM(D66,D67)</f>
        <v>198</v>
      </c>
      <c r="E68" s="807">
        <f>E63-SUM(E66,E67)</f>
        <v>227</v>
      </c>
      <c r="F68" s="807">
        <f aca="true" t="shared" si="23" ref="F68:M68">F63-SUM(F66,F67)</f>
        <v>53</v>
      </c>
      <c r="G68" s="807">
        <f t="shared" si="23"/>
        <v>174</v>
      </c>
      <c r="H68" s="807">
        <f t="shared" si="23"/>
        <v>0</v>
      </c>
      <c r="I68" s="807">
        <f t="shared" si="23"/>
        <v>246</v>
      </c>
      <c r="J68" s="807">
        <f t="shared" si="23"/>
        <v>10</v>
      </c>
      <c r="K68" s="807">
        <f t="shared" si="23"/>
        <v>2</v>
      </c>
      <c r="L68" s="807">
        <f t="shared" si="23"/>
        <v>0</v>
      </c>
      <c r="M68" s="807">
        <f t="shared" si="23"/>
        <v>0</v>
      </c>
      <c r="N68" s="807">
        <f>N63-SUM(N66,N67)</f>
        <v>8</v>
      </c>
    </row>
    <row r="69" spans="1:14" ht="15" hidden="1">
      <c r="A69" s="508" t="s">
        <v>51</v>
      </c>
      <c r="B69" s="430" t="s">
        <v>137</v>
      </c>
      <c r="C69" s="806">
        <f>C70+C71+C72+C73+C74+C75+C76</f>
        <v>504</v>
      </c>
      <c r="D69" s="806">
        <f>D70+D71+D72+D73+D74+D75+D76</f>
        <v>127</v>
      </c>
      <c r="E69" s="806">
        <f>F69+G69</f>
        <v>115</v>
      </c>
      <c r="F69" s="806">
        <f aca="true" t="shared" si="24" ref="F69:M69">F70+F71+F72+F73+F74+F75+F76</f>
        <v>30</v>
      </c>
      <c r="G69" s="806">
        <f t="shared" si="24"/>
        <v>85</v>
      </c>
      <c r="H69" s="806">
        <f t="shared" si="24"/>
        <v>0</v>
      </c>
      <c r="I69" s="806">
        <f t="shared" si="24"/>
        <v>245</v>
      </c>
      <c r="J69" s="806">
        <f t="shared" si="24"/>
        <v>9</v>
      </c>
      <c r="K69" s="806">
        <f t="shared" si="24"/>
        <v>0</v>
      </c>
      <c r="L69" s="806">
        <f t="shared" si="24"/>
        <v>0</v>
      </c>
      <c r="M69" s="806">
        <f t="shared" si="24"/>
        <v>0</v>
      </c>
      <c r="N69" s="806">
        <f>N70+N71+N72+N73+N74+N75+N76</f>
        <v>8</v>
      </c>
    </row>
    <row r="70" spans="1:14" ht="15" hidden="1">
      <c r="A70" s="507" t="s">
        <v>53</v>
      </c>
      <c r="B70" s="429" t="s">
        <v>138</v>
      </c>
      <c r="C70" s="811">
        <f aca="true" t="shared" si="25" ref="C70:C76">SUM(D70,E70,H70:N70)</f>
        <v>420</v>
      </c>
      <c r="D70" s="841">
        <v>92</v>
      </c>
      <c r="E70" s="808">
        <f aca="true" t="shared" si="26" ref="E70:E76">SUM(F70:G70)</f>
        <v>87</v>
      </c>
      <c r="F70" s="841">
        <v>25</v>
      </c>
      <c r="G70" s="841">
        <v>62</v>
      </c>
      <c r="H70" s="841">
        <v>0</v>
      </c>
      <c r="I70" s="841">
        <v>234</v>
      </c>
      <c r="J70" s="841">
        <v>4</v>
      </c>
      <c r="K70" s="841">
        <v>0</v>
      </c>
      <c r="L70" s="841">
        <v>0</v>
      </c>
      <c r="M70" s="841">
        <v>0</v>
      </c>
      <c r="N70" s="841">
        <v>3</v>
      </c>
    </row>
    <row r="71" spans="1:14" ht="15" hidden="1">
      <c r="A71" s="507" t="s">
        <v>54</v>
      </c>
      <c r="B71" s="429" t="s">
        <v>139</v>
      </c>
      <c r="C71" s="811">
        <f t="shared" si="25"/>
        <v>1</v>
      </c>
      <c r="D71" s="841">
        <v>0</v>
      </c>
      <c r="E71" s="808">
        <f t="shared" si="26"/>
        <v>1</v>
      </c>
      <c r="F71" s="841">
        <v>0</v>
      </c>
      <c r="G71" s="841">
        <v>1</v>
      </c>
      <c r="H71" s="841">
        <v>0</v>
      </c>
      <c r="I71" s="841">
        <v>0</v>
      </c>
      <c r="J71" s="841">
        <v>0</v>
      </c>
      <c r="K71" s="841">
        <v>0</v>
      </c>
      <c r="L71" s="841">
        <v>0</v>
      </c>
      <c r="M71" s="841">
        <v>0</v>
      </c>
      <c r="N71" s="841">
        <v>0</v>
      </c>
    </row>
    <row r="72" spans="1:14" ht="15" hidden="1">
      <c r="A72" s="507" t="s">
        <v>140</v>
      </c>
      <c r="B72" s="429" t="s">
        <v>141</v>
      </c>
      <c r="C72" s="811">
        <f t="shared" si="25"/>
        <v>66</v>
      </c>
      <c r="D72" s="841">
        <v>24</v>
      </c>
      <c r="E72" s="808">
        <f t="shared" si="26"/>
        <v>26</v>
      </c>
      <c r="F72" s="841">
        <v>5</v>
      </c>
      <c r="G72" s="841">
        <v>21</v>
      </c>
      <c r="H72" s="841">
        <v>0</v>
      </c>
      <c r="I72" s="841">
        <v>6</v>
      </c>
      <c r="J72" s="841">
        <v>5</v>
      </c>
      <c r="K72" s="841">
        <v>0</v>
      </c>
      <c r="L72" s="841">
        <v>0</v>
      </c>
      <c r="M72" s="841">
        <v>0</v>
      </c>
      <c r="N72" s="841">
        <v>5</v>
      </c>
    </row>
    <row r="73" spans="1:14" ht="15" hidden="1">
      <c r="A73" s="507" t="s">
        <v>142</v>
      </c>
      <c r="B73" s="429" t="s">
        <v>143</v>
      </c>
      <c r="C73" s="812">
        <f t="shared" si="25"/>
        <v>8</v>
      </c>
      <c r="D73" s="841">
        <v>8</v>
      </c>
      <c r="E73" s="813">
        <f t="shared" si="26"/>
        <v>0</v>
      </c>
      <c r="F73" s="841">
        <v>0</v>
      </c>
      <c r="G73" s="841">
        <v>0</v>
      </c>
      <c r="H73" s="841">
        <v>0</v>
      </c>
      <c r="I73" s="841">
        <v>0</v>
      </c>
      <c r="J73" s="841">
        <v>0</v>
      </c>
      <c r="K73" s="841">
        <v>0</v>
      </c>
      <c r="L73" s="841">
        <v>0</v>
      </c>
      <c r="M73" s="841">
        <v>0</v>
      </c>
      <c r="N73" s="841">
        <v>0</v>
      </c>
    </row>
    <row r="74" spans="1:14" ht="15" hidden="1">
      <c r="A74" s="507" t="s">
        <v>144</v>
      </c>
      <c r="B74" s="429" t="s">
        <v>145</v>
      </c>
      <c r="C74" s="811">
        <f t="shared" si="25"/>
        <v>5</v>
      </c>
      <c r="D74" s="841">
        <v>3</v>
      </c>
      <c r="E74" s="808">
        <f t="shared" si="26"/>
        <v>0</v>
      </c>
      <c r="F74" s="841">
        <v>0</v>
      </c>
      <c r="G74" s="841">
        <v>0</v>
      </c>
      <c r="H74" s="841">
        <v>0</v>
      </c>
      <c r="I74" s="841">
        <v>2</v>
      </c>
      <c r="J74" s="841">
        <v>0</v>
      </c>
      <c r="K74" s="841">
        <v>0</v>
      </c>
      <c r="L74" s="841">
        <v>0</v>
      </c>
      <c r="M74" s="841">
        <v>0</v>
      </c>
      <c r="N74" s="841">
        <v>0</v>
      </c>
    </row>
    <row r="75" spans="1:14" ht="25.5" hidden="1">
      <c r="A75" s="507" t="s">
        <v>146</v>
      </c>
      <c r="B75" s="431" t="s">
        <v>147</v>
      </c>
      <c r="C75" s="811">
        <f t="shared" si="25"/>
        <v>0</v>
      </c>
      <c r="D75" s="841">
        <v>0</v>
      </c>
      <c r="E75" s="808">
        <f t="shared" si="26"/>
        <v>0</v>
      </c>
      <c r="F75" s="841">
        <v>0</v>
      </c>
      <c r="G75" s="841">
        <v>0</v>
      </c>
      <c r="H75" s="841">
        <v>0</v>
      </c>
      <c r="I75" s="841">
        <v>0</v>
      </c>
      <c r="J75" s="841">
        <v>0</v>
      </c>
      <c r="K75" s="841">
        <v>0</v>
      </c>
      <c r="L75" s="841">
        <v>0</v>
      </c>
      <c r="M75" s="841">
        <v>0</v>
      </c>
      <c r="N75" s="841">
        <v>0</v>
      </c>
    </row>
    <row r="76" spans="1:14" ht="15" hidden="1">
      <c r="A76" s="507" t="s">
        <v>148</v>
      </c>
      <c r="B76" s="429" t="s">
        <v>149</v>
      </c>
      <c r="C76" s="811">
        <f t="shared" si="25"/>
        <v>4</v>
      </c>
      <c r="D76" s="841">
        <v>0</v>
      </c>
      <c r="E76" s="808">
        <f t="shared" si="26"/>
        <v>1</v>
      </c>
      <c r="F76" s="841">
        <v>0</v>
      </c>
      <c r="G76" s="841">
        <v>1</v>
      </c>
      <c r="H76" s="841">
        <v>0</v>
      </c>
      <c r="I76" s="841">
        <v>3</v>
      </c>
      <c r="J76" s="841">
        <v>0</v>
      </c>
      <c r="K76" s="841">
        <v>0</v>
      </c>
      <c r="L76" s="841">
        <v>0</v>
      </c>
      <c r="M76" s="841">
        <v>0</v>
      </c>
      <c r="N76" s="841">
        <v>0</v>
      </c>
    </row>
    <row r="77" spans="1:14" ht="15" hidden="1">
      <c r="A77" s="508" t="s">
        <v>52</v>
      </c>
      <c r="B77" s="394" t="s">
        <v>150</v>
      </c>
      <c r="C77" s="806">
        <f>SUM(D77,E77,H77:N77)</f>
        <v>187</v>
      </c>
      <c r="D77" s="806">
        <f aca="true" t="shared" si="27" ref="D77:N77">D68-D69</f>
        <v>71</v>
      </c>
      <c r="E77" s="807">
        <f>SUM(F77:G77)</f>
        <v>112</v>
      </c>
      <c r="F77" s="806">
        <f t="shared" si="27"/>
        <v>23</v>
      </c>
      <c r="G77" s="806">
        <f t="shared" si="27"/>
        <v>89</v>
      </c>
      <c r="H77" s="806">
        <f t="shared" si="27"/>
        <v>0</v>
      </c>
      <c r="I77" s="806">
        <f t="shared" si="27"/>
        <v>1</v>
      </c>
      <c r="J77" s="806">
        <f t="shared" si="27"/>
        <v>1</v>
      </c>
      <c r="K77" s="806">
        <f t="shared" si="27"/>
        <v>2</v>
      </c>
      <c r="L77" s="806">
        <f t="shared" si="27"/>
        <v>0</v>
      </c>
      <c r="M77" s="806">
        <f t="shared" si="27"/>
        <v>0</v>
      </c>
      <c r="N77" s="806">
        <f t="shared" si="27"/>
        <v>0</v>
      </c>
    </row>
    <row r="78" spans="1:14" ht="25.5" hidden="1">
      <c r="A78" s="508" t="s">
        <v>540</v>
      </c>
      <c r="B78" s="432" t="s">
        <v>151</v>
      </c>
      <c r="C78" s="413">
        <f>(C70+C71)/C69</f>
        <v>0.8353174603174603</v>
      </c>
      <c r="D78" s="413">
        <f aca="true" t="shared" si="28" ref="D78:N78">(D70+C71)/D69</f>
        <v>0.7322834645669292</v>
      </c>
      <c r="E78" s="413">
        <f t="shared" si="28"/>
        <v>0.7565217391304347</v>
      </c>
      <c r="F78" s="413">
        <f t="shared" si="28"/>
        <v>0.8666666666666667</v>
      </c>
      <c r="G78" s="413">
        <f t="shared" si="28"/>
        <v>0.7294117647058823</v>
      </c>
      <c r="H78" s="413" t="e">
        <f t="shared" si="28"/>
        <v>#DIV/0!</v>
      </c>
      <c r="I78" s="413">
        <f t="shared" si="28"/>
        <v>0.9551020408163265</v>
      </c>
      <c r="J78" s="413">
        <f t="shared" si="28"/>
        <v>0.4444444444444444</v>
      </c>
      <c r="K78" s="413" t="e">
        <f t="shared" si="28"/>
        <v>#DIV/0!</v>
      </c>
      <c r="L78" s="413" t="e">
        <f t="shared" si="28"/>
        <v>#DIV/0!</v>
      </c>
      <c r="M78" s="413" t="e">
        <f t="shared" si="28"/>
        <v>#DIV/0!</v>
      </c>
      <c r="N78" s="413">
        <f t="shared" si="28"/>
        <v>0.375</v>
      </c>
    </row>
    <row r="79" ht="15" hidden="1"/>
    <row r="80" ht="15" hidden="1">
      <c r="B80" s="388" t="s">
        <v>738</v>
      </c>
    </row>
    <row r="81" spans="1:14" ht="15" customHeight="1" hidden="1">
      <c r="A81" s="1478" t="s">
        <v>68</v>
      </c>
      <c r="B81" s="1479"/>
      <c r="C81" s="1484" t="s">
        <v>37</v>
      </c>
      <c r="D81" s="1487" t="s">
        <v>335</v>
      </c>
      <c r="E81" s="1488"/>
      <c r="F81" s="1488"/>
      <c r="G81" s="1488"/>
      <c r="H81" s="1488"/>
      <c r="I81" s="1488"/>
      <c r="J81" s="1488"/>
      <c r="K81" s="1488"/>
      <c r="L81" s="1488"/>
      <c r="M81" s="1488"/>
      <c r="N81" s="1489"/>
    </row>
    <row r="82" spans="1:14" ht="15" customHeight="1" hidden="1">
      <c r="A82" s="1480"/>
      <c r="B82" s="1481"/>
      <c r="C82" s="1485"/>
      <c r="D82" s="1490" t="s">
        <v>119</v>
      </c>
      <c r="E82" s="1476" t="s">
        <v>120</v>
      </c>
      <c r="F82" s="1493"/>
      <c r="G82" s="1477"/>
      <c r="H82" s="1473" t="s">
        <v>121</v>
      </c>
      <c r="I82" s="1473" t="s">
        <v>122</v>
      </c>
      <c r="J82" s="1473" t="s">
        <v>123</v>
      </c>
      <c r="K82" s="1473" t="s">
        <v>124</v>
      </c>
      <c r="L82" s="1473" t="s">
        <v>125</v>
      </c>
      <c r="M82" s="1473" t="s">
        <v>126</v>
      </c>
      <c r="N82" s="1473" t="s">
        <v>127</v>
      </c>
    </row>
    <row r="83" spans="1:14" ht="15" hidden="1">
      <c r="A83" s="1480"/>
      <c r="B83" s="1481"/>
      <c r="C83" s="1485"/>
      <c r="D83" s="1491"/>
      <c r="E83" s="1473" t="s">
        <v>36</v>
      </c>
      <c r="F83" s="1476" t="s">
        <v>7</v>
      </c>
      <c r="G83" s="1477"/>
      <c r="H83" s="1474"/>
      <c r="I83" s="1474"/>
      <c r="J83" s="1474"/>
      <c r="K83" s="1474"/>
      <c r="L83" s="1474"/>
      <c r="M83" s="1474"/>
      <c r="N83" s="1474"/>
    </row>
    <row r="84" spans="1:14" ht="15" hidden="1">
      <c r="A84" s="1482"/>
      <c r="B84" s="1483"/>
      <c r="C84" s="1486"/>
      <c r="D84" s="1492"/>
      <c r="E84" s="1475"/>
      <c r="F84" s="559" t="s">
        <v>199</v>
      </c>
      <c r="G84" s="560" t="s">
        <v>200</v>
      </c>
      <c r="H84" s="1475"/>
      <c r="I84" s="1475"/>
      <c r="J84" s="1475"/>
      <c r="K84" s="1475"/>
      <c r="L84" s="1475"/>
      <c r="M84" s="1475"/>
      <c r="N84" s="1475"/>
    </row>
    <row r="85" spans="1:14" ht="15" hidden="1">
      <c r="A85" s="1471" t="s">
        <v>39</v>
      </c>
      <c r="B85" s="1472"/>
      <c r="C85" s="505">
        <v>1</v>
      </c>
      <c r="D85" s="505">
        <v>2</v>
      </c>
      <c r="E85" s="505">
        <v>3</v>
      </c>
      <c r="F85" s="505">
        <v>4</v>
      </c>
      <c r="G85" s="505">
        <v>5</v>
      </c>
      <c r="H85" s="505">
        <v>6</v>
      </c>
      <c r="I85" s="505">
        <v>7</v>
      </c>
      <c r="J85" s="505">
        <v>8</v>
      </c>
      <c r="K85" s="505">
        <v>9</v>
      </c>
      <c r="L85" s="505">
        <v>10</v>
      </c>
      <c r="M85" s="505">
        <v>11</v>
      </c>
      <c r="N85" s="505">
        <v>12</v>
      </c>
    </row>
    <row r="86" spans="1:14" ht="15" hidden="1">
      <c r="A86" s="506" t="s">
        <v>0</v>
      </c>
      <c r="B86" s="427" t="s">
        <v>130</v>
      </c>
      <c r="C86" s="806">
        <f aca="true" t="shared" si="29" ref="C86:C91">SUM(D86,E86,H86:N86)</f>
        <v>551</v>
      </c>
      <c r="D86" s="807">
        <f aca="true" t="shared" si="30" ref="D86:N86">SUM(D87:D88)</f>
        <v>50</v>
      </c>
      <c r="E86" s="807">
        <f t="shared" si="30"/>
        <v>223</v>
      </c>
      <c r="F86" s="807">
        <f t="shared" si="30"/>
        <v>25</v>
      </c>
      <c r="G86" s="807">
        <f t="shared" si="30"/>
        <v>198</v>
      </c>
      <c r="H86" s="807">
        <f t="shared" si="30"/>
        <v>0</v>
      </c>
      <c r="I86" s="807">
        <f t="shared" si="30"/>
        <v>124</v>
      </c>
      <c r="J86" s="807">
        <f t="shared" si="30"/>
        <v>0</v>
      </c>
      <c r="K86" s="807">
        <f t="shared" si="30"/>
        <v>0</v>
      </c>
      <c r="L86" s="807">
        <f t="shared" si="30"/>
        <v>0</v>
      </c>
      <c r="M86" s="807">
        <f t="shared" si="30"/>
        <v>0</v>
      </c>
      <c r="N86" s="807">
        <f t="shared" si="30"/>
        <v>154</v>
      </c>
    </row>
    <row r="87" spans="1:14" ht="15.75" hidden="1">
      <c r="A87" s="507">
        <v>1</v>
      </c>
      <c r="B87" s="429" t="s">
        <v>131</v>
      </c>
      <c r="C87" s="840">
        <f t="shared" si="29"/>
        <v>171</v>
      </c>
      <c r="D87" s="939">
        <v>26</v>
      </c>
      <c r="E87" s="808">
        <f>SUM(F87:G87)</f>
        <v>139</v>
      </c>
      <c r="F87" s="939">
        <v>17</v>
      </c>
      <c r="G87" s="939">
        <v>122</v>
      </c>
      <c r="H87" s="939">
        <v>0</v>
      </c>
      <c r="I87" s="939">
        <v>4</v>
      </c>
      <c r="J87" s="939">
        <v>0</v>
      </c>
      <c r="K87" s="939">
        <v>0</v>
      </c>
      <c r="L87" s="939">
        <v>0</v>
      </c>
      <c r="M87" s="939">
        <v>0</v>
      </c>
      <c r="N87" s="939">
        <v>2</v>
      </c>
    </row>
    <row r="88" spans="1:14" ht="15.75" hidden="1">
      <c r="A88" s="507">
        <v>2</v>
      </c>
      <c r="B88" s="429" t="s">
        <v>132</v>
      </c>
      <c r="C88" s="840">
        <f t="shared" si="29"/>
        <v>380</v>
      </c>
      <c r="D88" s="939">
        <v>24</v>
      </c>
      <c r="E88" s="808">
        <f>SUM(F88:G88)</f>
        <v>84</v>
      </c>
      <c r="F88" s="939">
        <v>8</v>
      </c>
      <c r="G88" s="939">
        <v>76</v>
      </c>
      <c r="H88" s="939">
        <v>0</v>
      </c>
      <c r="I88" s="939">
        <v>120</v>
      </c>
      <c r="J88" s="939">
        <v>0</v>
      </c>
      <c r="K88" s="939">
        <v>0</v>
      </c>
      <c r="L88" s="939">
        <v>0</v>
      </c>
      <c r="M88" s="939">
        <v>0</v>
      </c>
      <c r="N88" s="939">
        <v>152</v>
      </c>
    </row>
    <row r="89" spans="1:14" ht="15.75" hidden="1">
      <c r="A89" s="508" t="s">
        <v>1</v>
      </c>
      <c r="B89" s="394" t="s">
        <v>133</v>
      </c>
      <c r="C89" s="840">
        <f t="shared" si="29"/>
        <v>5</v>
      </c>
      <c r="D89" s="939">
        <v>2</v>
      </c>
      <c r="E89" s="808">
        <f>SUM(F89:G89)</f>
        <v>3</v>
      </c>
      <c r="F89" s="939">
        <v>1</v>
      </c>
      <c r="G89" s="939">
        <v>2</v>
      </c>
      <c r="H89" s="939">
        <v>0</v>
      </c>
      <c r="I89" s="939">
        <v>0</v>
      </c>
      <c r="J89" s="939">
        <v>0</v>
      </c>
      <c r="K89" s="939">
        <v>0</v>
      </c>
      <c r="L89" s="939">
        <v>0</v>
      </c>
      <c r="M89" s="939">
        <v>0</v>
      </c>
      <c r="N89" s="939">
        <v>0</v>
      </c>
    </row>
    <row r="90" spans="1:14" ht="15.75" hidden="1">
      <c r="A90" s="508" t="s">
        <v>9</v>
      </c>
      <c r="B90" s="394" t="s">
        <v>134</v>
      </c>
      <c r="C90" s="840">
        <f t="shared" si="29"/>
        <v>0</v>
      </c>
      <c r="D90" s="939">
        <v>0</v>
      </c>
      <c r="E90" s="808">
        <f>SUM(F90:G90)</f>
        <v>0</v>
      </c>
      <c r="F90" s="939">
        <v>0</v>
      </c>
      <c r="G90" s="939">
        <v>0</v>
      </c>
      <c r="H90" s="939">
        <v>0</v>
      </c>
      <c r="I90" s="939">
        <v>0</v>
      </c>
      <c r="J90" s="939">
        <v>0</v>
      </c>
      <c r="K90" s="939">
        <v>0</v>
      </c>
      <c r="L90" s="939">
        <v>0</v>
      </c>
      <c r="M90" s="939">
        <v>0</v>
      </c>
      <c r="N90" s="939">
        <v>0</v>
      </c>
    </row>
    <row r="91" spans="1:14" ht="15" hidden="1">
      <c r="A91" s="508" t="s">
        <v>135</v>
      </c>
      <c r="B91" s="394" t="s">
        <v>136</v>
      </c>
      <c r="C91" s="806">
        <f t="shared" si="29"/>
        <v>546</v>
      </c>
      <c r="D91" s="807">
        <f>D86-SUM(D89,D90)</f>
        <v>48</v>
      </c>
      <c r="E91" s="807">
        <f>E86-SUM(E89,E90)</f>
        <v>220</v>
      </c>
      <c r="F91" s="807">
        <f aca="true" t="shared" si="31" ref="F91:M91">F86-SUM(F89,F90)</f>
        <v>24</v>
      </c>
      <c r="G91" s="807">
        <f t="shared" si="31"/>
        <v>196</v>
      </c>
      <c r="H91" s="807">
        <f t="shared" si="31"/>
        <v>0</v>
      </c>
      <c r="I91" s="807">
        <f t="shared" si="31"/>
        <v>124</v>
      </c>
      <c r="J91" s="807">
        <f t="shared" si="31"/>
        <v>0</v>
      </c>
      <c r="K91" s="807">
        <f t="shared" si="31"/>
        <v>0</v>
      </c>
      <c r="L91" s="807">
        <f t="shared" si="31"/>
        <v>0</v>
      </c>
      <c r="M91" s="807">
        <f t="shared" si="31"/>
        <v>0</v>
      </c>
      <c r="N91" s="807">
        <f>N86-SUM(N89,N90)</f>
        <v>154</v>
      </c>
    </row>
    <row r="92" spans="1:14" ht="15" hidden="1">
      <c r="A92" s="508" t="s">
        <v>51</v>
      </c>
      <c r="B92" s="430" t="s">
        <v>137</v>
      </c>
      <c r="C92" s="806">
        <f>C93+C94+C95+C96+C97+C98+C99</f>
        <v>386</v>
      </c>
      <c r="D92" s="806">
        <f>D93+D94+D95+D96+D97+D98+D99</f>
        <v>27</v>
      </c>
      <c r="E92" s="806">
        <f>F92+G92</f>
        <v>85</v>
      </c>
      <c r="F92" s="806">
        <f aca="true" t="shared" si="32" ref="F92:M92">F93+F94+F95+F96+F97+F98+F99</f>
        <v>9</v>
      </c>
      <c r="G92" s="806">
        <f t="shared" si="32"/>
        <v>76</v>
      </c>
      <c r="H92" s="806">
        <f t="shared" si="32"/>
        <v>0</v>
      </c>
      <c r="I92" s="806">
        <f t="shared" si="32"/>
        <v>121</v>
      </c>
      <c r="J92" s="806">
        <f t="shared" si="32"/>
        <v>0</v>
      </c>
      <c r="K92" s="806">
        <f t="shared" si="32"/>
        <v>0</v>
      </c>
      <c r="L92" s="806">
        <f t="shared" si="32"/>
        <v>0</v>
      </c>
      <c r="M92" s="806">
        <f t="shared" si="32"/>
        <v>0</v>
      </c>
      <c r="N92" s="806">
        <f>N93+N94+N95+N96+N97+N98+N99</f>
        <v>153</v>
      </c>
    </row>
    <row r="93" spans="1:14" ht="15.75" hidden="1">
      <c r="A93" s="507" t="s">
        <v>53</v>
      </c>
      <c r="B93" s="429" t="s">
        <v>138</v>
      </c>
      <c r="C93" s="811">
        <f aca="true" t="shared" si="33" ref="C93:C99">SUM(D93,E93,H93:N93)</f>
        <v>343</v>
      </c>
      <c r="D93" s="939">
        <v>16</v>
      </c>
      <c r="E93" s="808">
        <f aca="true" t="shared" si="34" ref="E93:E99">SUM(F93:G93)</f>
        <v>64</v>
      </c>
      <c r="F93" s="939">
        <v>6</v>
      </c>
      <c r="G93" s="939">
        <v>58</v>
      </c>
      <c r="H93" s="939">
        <v>0</v>
      </c>
      <c r="I93" s="939">
        <v>121</v>
      </c>
      <c r="J93" s="939">
        <v>0</v>
      </c>
      <c r="K93" s="939">
        <v>0</v>
      </c>
      <c r="L93" s="939">
        <v>0</v>
      </c>
      <c r="M93" s="939">
        <v>0</v>
      </c>
      <c r="N93" s="939">
        <v>142</v>
      </c>
    </row>
    <row r="94" spans="1:14" ht="15.75" hidden="1">
      <c r="A94" s="507" t="s">
        <v>54</v>
      </c>
      <c r="B94" s="429" t="s">
        <v>139</v>
      </c>
      <c r="C94" s="811">
        <f t="shared" si="33"/>
        <v>0</v>
      </c>
      <c r="D94" s="939">
        <v>0</v>
      </c>
      <c r="E94" s="808">
        <f t="shared" si="34"/>
        <v>0</v>
      </c>
      <c r="F94" s="939">
        <v>0</v>
      </c>
      <c r="G94" s="939">
        <v>0</v>
      </c>
      <c r="H94" s="939">
        <v>0</v>
      </c>
      <c r="I94" s="939">
        <v>0</v>
      </c>
      <c r="J94" s="939">
        <v>0</v>
      </c>
      <c r="K94" s="939">
        <v>0</v>
      </c>
      <c r="L94" s="939">
        <v>0</v>
      </c>
      <c r="M94" s="939">
        <v>0</v>
      </c>
      <c r="N94" s="939">
        <v>0</v>
      </c>
    </row>
    <row r="95" spans="1:14" ht="15.75" hidden="1">
      <c r="A95" s="507" t="s">
        <v>140</v>
      </c>
      <c r="B95" s="429" t="s">
        <v>141</v>
      </c>
      <c r="C95" s="811">
        <f t="shared" si="33"/>
        <v>40</v>
      </c>
      <c r="D95" s="939">
        <v>9</v>
      </c>
      <c r="E95" s="808">
        <f t="shared" si="34"/>
        <v>21</v>
      </c>
      <c r="F95" s="939">
        <v>3</v>
      </c>
      <c r="G95" s="939">
        <v>18</v>
      </c>
      <c r="H95" s="939">
        <v>0</v>
      </c>
      <c r="I95" s="939">
        <v>0</v>
      </c>
      <c r="J95" s="939">
        <v>0</v>
      </c>
      <c r="K95" s="939">
        <v>0</v>
      </c>
      <c r="L95" s="939">
        <v>0</v>
      </c>
      <c r="M95" s="939">
        <v>0</v>
      </c>
      <c r="N95" s="939">
        <v>10</v>
      </c>
    </row>
    <row r="96" spans="1:14" ht="15.75" hidden="1">
      <c r="A96" s="507" t="s">
        <v>142</v>
      </c>
      <c r="B96" s="429" t="s">
        <v>143</v>
      </c>
      <c r="C96" s="812">
        <f t="shared" si="33"/>
        <v>2</v>
      </c>
      <c r="D96" s="939">
        <v>2</v>
      </c>
      <c r="E96" s="813">
        <f t="shared" si="34"/>
        <v>0</v>
      </c>
      <c r="F96" s="939">
        <v>0</v>
      </c>
      <c r="G96" s="939">
        <v>0</v>
      </c>
      <c r="H96" s="939">
        <v>0</v>
      </c>
      <c r="I96" s="939">
        <v>0</v>
      </c>
      <c r="J96" s="939">
        <v>0</v>
      </c>
      <c r="K96" s="939">
        <v>0</v>
      </c>
      <c r="L96" s="939">
        <v>0</v>
      </c>
      <c r="M96" s="939">
        <v>0</v>
      </c>
      <c r="N96" s="939">
        <v>0</v>
      </c>
    </row>
    <row r="97" spans="1:14" ht="15.75" hidden="1">
      <c r="A97" s="507" t="s">
        <v>144</v>
      </c>
      <c r="B97" s="429" t="s">
        <v>145</v>
      </c>
      <c r="C97" s="811">
        <f t="shared" si="33"/>
        <v>0</v>
      </c>
      <c r="D97" s="939">
        <v>0</v>
      </c>
      <c r="E97" s="808">
        <f t="shared" si="34"/>
        <v>0</v>
      </c>
      <c r="F97" s="939">
        <v>0</v>
      </c>
      <c r="G97" s="939">
        <v>0</v>
      </c>
      <c r="H97" s="939">
        <v>0</v>
      </c>
      <c r="I97" s="939">
        <v>0</v>
      </c>
      <c r="J97" s="939">
        <v>0</v>
      </c>
      <c r="K97" s="939">
        <v>0</v>
      </c>
      <c r="L97" s="939">
        <v>0</v>
      </c>
      <c r="M97" s="939">
        <v>0</v>
      </c>
      <c r="N97" s="939">
        <v>0</v>
      </c>
    </row>
    <row r="98" spans="1:14" ht="25.5" hidden="1">
      <c r="A98" s="507" t="s">
        <v>146</v>
      </c>
      <c r="B98" s="431" t="s">
        <v>147</v>
      </c>
      <c r="C98" s="811">
        <f t="shared" si="33"/>
        <v>0</v>
      </c>
      <c r="D98" s="939">
        <v>0</v>
      </c>
      <c r="E98" s="808">
        <f t="shared" si="34"/>
        <v>0</v>
      </c>
      <c r="F98" s="939">
        <v>0</v>
      </c>
      <c r="G98" s="939">
        <v>0</v>
      </c>
      <c r="H98" s="939">
        <v>0</v>
      </c>
      <c r="I98" s="939">
        <v>0</v>
      </c>
      <c r="J98" s="939">
        <v>0</v>
      </c>
      <c r="K98" s="939">
        <v>0</v>
      </c>
      <c r="L98" s="939">
        <v>0</v>
      </c>
      <c r="M98" s="939">
        <v>0</v>
      </c>
      <c r="N98" s="939">
        <v>0</v>
      </c>
    </row>
    <row r="99" spans="1:14" ht="15.75" hidden="1">
      <c r="A99" s="507" t="s">
        <v>148</v>
      </c>
      <c r="B99" s="429" t="s">
        <v>149</v>
      </c>
      <c r="C99" s="811">
        <f t="shared" si="33"/>
        <v>1</v>
      </c>
      <c r="D99" s="939">
        <v>0</v>
      </c>
      <c r="E99" s="808">
        <f t="shared" si="34"/>
        <v>0</v>
      </c>
      <c r="F99" s="939">
        <v>0</v>
      </c>
      <c r="G99" s="939">
        <v>0</v>
      </c>
      <c r="H99" s="939">
        <v>0</v>
      </c>
      <c r="I99" s="939">
        <v>0</v>
      </c>
      <c r="J99" s="939">
        <v>0</v>
      </c>
      <c r="K99" s="939">
        <v>0</v>
      </c>
      <c r="L99" s="939">
        <v>0</v>
      </c>
      <c r="M99" s="939">
        <v>0</v>
      </c>
      <c r="N99" s="939">
        <v>1</v>
      </c>
    </row>
    <row r="100" spans="1:14" ht="15" hidden="1">
      <c r="A100" s="508" t="s">
        <v>52</v>
      </c>
      <c r="B100" s="394" t="s">
        <v>150</v>
      </c>
      <c r="C100" s="806">
        <f>SUM(D100,E100,H100:N100)</f>
        <v>160</v>
      </c>
      <c r="D100" s="806">
        <f>D91-D92</f>
        <v>21</v>
      </c>
      <c r="E100" s="807">
        <f>SUM(F100:G100)</f>
        <v>135</v>
      </c>
      <c r="F100" s="806">
        <f aca="true" t="shared" si="35" ref="F100:N100">F91-F92</f>
        <v>15</v>
      </c>
      <c r="G100" s="806">
        <f t="shared" si="35"/>
        <v>120</v>
      </c>
      <c r="H100" s="806">
        <f t="shared" si="35"/>
        <v>0</v>
      </c>
      <c r="I100" s="806">
        <f t="shared" si="35"/>
        <v>3</v>
      </c>
      <c r="J100" s="806">
        <f t="shared" si="35"/>
        <v>0</v>
      </c>
      <c r="K100" s="806">
        <f t="shared" si="35"/>
        <v>0</v>
      </c>
      <c r="L100" s="806">
        <f t="shared" si="35"/>
        <v>0</v>
      </c>
      <c r="M100" s="806">
        <f t="shared" si="35"/>
        <v>0</v>
      </c>
      <c r="N100" s="806">
        <f t="shared" si="35"/>
        <v>1</v>
      </c>
    </row>
    <row r="101" spans="1:14" ht="25.5" hidden="1">
      <c r="A101" s="508" t="s">
        <v>540</v>
      </c>
      <c r="B101" s="432" t="s">
        <v>151</v>
      </c>
      <c r="C101" s="413">
        <f>(C93+C94)/C92</f>
        <v>0.8886010362694301</v>
      </c>
      <c r="D101" s="413">
        <f aca="true" t="shared" si="36" ref="D101:N101">(D93+C94)/D92</f>
        <v>0.5925925925925926</v>
      </c>
      <c r="E101" s="413">
        <f t="shared" si="36"/>
        <v>0.7529411764705882</v>
      </c>
      <c r="F101" s="413">
        <f t="shared" si="36"/>
        <v>0.6666666666666666</v>
      </c>
      <c r="G101" s="413">
        <f t="shared" si="36"/>
        <v>0.7631578947368421</v>
      </c>
      <c r="H101" s="413" t="e">
        <f t="shared" si="36"/>
        <v>#DIV/0!</v>
      </c>
      <c r="I101" s="413">
        <f t="shared" si="36"/>
        <v>1</v>
      </c>
      <c r="J101" s="413" t="e">
        <f t="shared" si="36"/>
        <v>#DIV/0!</v>
      </c>
      <c r="K101" s="413" t="e">
        <f t="shared" si="36"/>
        <v>#DIV/0!</v>
      </c>
      <c r="L101" s="413" t="e">
        <f t="shared" si="36"/>
        <v>#DIV/0!</v>
      </c>
      <c r="M101" s="413" t="e">
        <f t="shared" si="36"/>
        <v>#DIV/0!</v>
      </c>
      <c r="N101" s="413">
        <f t="shared" si="36"/>
        <v>0.9281045751633987</v>
      </c>
    </row>
    <row r="102" ht="15" hidden="1"/>
    <row r="103" ht="15" hidden="1">
      <c r="B103" s="1020" t="s">
        <v>739</v>
      </c>
    </row>
    <row r="104" spans="1:14" ht="15" customHeight="1" hidden="1">
      <c r="A104" s="1478" t="s">
        <v>68</v>
      </c>
      <c r="B104" s="1479"/>
      <c r="C104" s="1484" t="s">
        <v>37</v>
      </c>
      <c r="D104" s="1487" t="s">
        <v>335</v>
      </c>
      <c r="E104" s="1488"/>
      <c r="F104" s="1488"/>
      <c r="G104" s="1488"/>
      <c r="H104" s="1488"/>
      <c r="I104" s="1488"/>
      <c r="J104" s="1488"/>
      <c r="K104" s="1488"/>
      <c r="L104" s="1488"/>
      <c r="M104" s="1488"/>
      <c r="N104" s="1489"/>
    </row>
    <row r="105" spans="1:14" ht="15" customHeight="1" hidden="1">
      <c r="A105" s="1480"/>
      <c r="B105" s="1481"/>
      <c r="C105" s="1485"/>
      <c r="D105" s="1490" t="s">
        <v>119</v>
      </c>
      <c r="E105" s="1476" t="s">
        <v>120</v>
      </c>
      <c r="F105" s="1493"/>
      <c r="G105" s="1477"/>
      <c r="H105" s="1473" t="s">
        <v>121</v>
      </c>
      <c r="I105" s="1473" t="s">
        <v>122</v>
      </c>
      <c r="J105" s="1473" t="s">
        <v>123</v>
      </c>
      <c r="K105" s="1473" t="s">
        <v>124</v>
      </c>
      <c r="L105" s="1473" t="s">
        <v>125</v>
      </c>
      <c r="M105" s="1473" t="s">
        <v>126</v>
      </c>
      <c r="N105" s="1473" t="s">
        <v>127</v>
      </c>
    </row>
    <row r="106" spans="1:14" ht="15" hidden="1">
      <c r="A106" s="1480"/>
      <c r="B106" s="1481"/>
      <c r="C106" s="1485"/>
      <c r="D106" s="1491"/>
      <c r="E106" s="1473" t="s">
        <v>36</v>
      </c>
      <c r="F106" s="1476" t="s">
        <v>7</v>
      </c>
      <c r="G106" s="1477"/>
      <c r="H106" s="1474"/>
      <c r="I106" s="1474"/>
      <c r="J106" s="1474"/>
      <c r="K106" s="1474"/>
      <c r="L106" s="1474"/>
      <c r="M106" s="1474"/>
      <c r="N106" s="1474"/>
    </row>
    <row r="107" spans="1:14" ht="15" hidden="1">
      <c r="A107" s="1482"/>
      <c r="B107" s="1483"/>
      <c r="C107" s="1486"/>
      <c r="D107" s="1492"/>
      <c r="E107" s="1475"/>
      <c r="F107" s="559" t="s">
        <v>199</v>
      </c>
      <c r="G107" s="560" t="s">
        <v>200</v>
      </c>
      <c r="H107" s="1475"/>
      <c r="I107" s="1475"/>
      <c r="J107" s="1475"/>
      <c r="K107" s="1475"/>
      <c r="L107" s="1475"/>
      <c r="M107" s="1475"/>
      <c r="N107" s="1475"/>
    </row>
    <row r="108" spans="1:14" ht="15" hidden="1">
      <c r="A108" s="1471" t="s">
        <v>39</v>
      </c>
      <c r="B108" s="1472"/>
      <c r="C108" s="505">
        <v>1</v>
      </c>
      <c r="D108" s="505">
        <v>2</v>
      </c>
      <c r="E108" s="505">
        <v>3</v>
      </c>
      <c r="F108" s="505">
        <v>4</v>
      </c>
      <c r="G108" s="505">
        <v>5</v>
      </c>
      <c r="H108" s="505">
        <v>6</v>
      </c>
      <c r="I108" s="505">
        <v>7</v>
      </c>
      <c r="J108" s="505">
        <v>8</v>
      </c>
      <c r="K108" s="505">
        <v>9</v>
      </c>
      <c r="L108" s="505">
        <v>10</v>
      </c>
      <c r="M108" s="505">
        <v>11</v>
      </c>
      <c r="N108" s="505">
        <v>12</v>
      </c>
    </row>
    <row r="109" spans="1:14" ht="15" hidden="1">
      <c r="A109" s="506" t="s">
        <v>0</v>
      </c>
      <c r="B109" s="427" t="s">
        <v>130</v>
      </c>
      <c r="C109" s="806">
        <f>D109+E109+H109+I109+J109+K109+L109+M109+N109</f>
        <v>706</v>
      </c>
      <c r="D109" s="807">
        <f aca="true" t="shared" si="37" ref="D109:N109">SUM(D110:D111)</f>
        <v>71</v>
      </c>
      <c r="E109" s="807">
        <f t="shared" si="37"/>
        <v>391</v>
      </c>
      <c r="F109" s="807">
        <f t="shared" si="37"/>
        <v>39</v>
      </c>
      <c r="G109" s="807">
        <f t="shared" si="37"/>
        <v>352</v>
      </c>
      <c r="H109" s="807">
        <f t="shared" si="37"/>
        <v>0</v>
      </c>
      <c r="I109" s="807">
        <f t="shared" si="37"/>
        <v>244</v>
      </c>
      <c r="J109" s="807">
        <f t="shared" si="37"/>
        <v>0</v>
      </c>
      <c r="K109" s="807">
        <f t="shared" si="37"/>
        <v>0</v>
      </c>
      <c r="L109" s="807">
        <f t="shared" si="37"/>
        <v>0</v>
      </c>
      <c r="M109" s="807">
        <f t="shared" si="37"/>
        <v>0</v>
      </c>
      <c r="N109" s="807">
        <f t="shared" si="37"/>
        <v>0</v>
      </c>
    </row>
    <row r="110" spans="1:14" ht="15" hidden="1">
      <c r="A110" s="507">
        <v>1</v>
      </c>
      <c r="B110" s="429" t="s">
        <v>131</v>
      </c>
      <c r="C110" s="840">
        <f>SUM(D110,E110,H110:N110)</f>
        <v>385</v>
      </c>
      <c r="D110" s="841">
        <v>47</v>
      </c>
      <c r="E110" s="808">
        <f>SUM(F110:G110)</f>
        <v>330</v>
      </c>
      <c r="F110" s="841">
        <v>32</v>
      </c>
      <c r="G110" s="841">
        <v>298</v>
      </c>
      <c r="H110" s="841">
        <v>0</v>
      </c>
      <c r="I110" s="841">
        <v>8</v>
      </c>
      <c r="J110" s="406">
        <v>0</v>
      </c>
      <c r="K110" s="406">
        <v>0</v>
      </c>
      <c r="L110" s="406">
        <v>0</v>
      </c>
      <c r="M110" s="406">
        <v>0</v>
      </c>
      <c r="N110" s="406">
        <v>0</v>
      </c>
    </row>
    <row r="111" spans="1:14" ht="15" hidden="1">
      <c r="A111" s="507">
        <v>2</v>
      </c>
      <c r="B111" s="429" t="s">
        <v>132</v>
      </c>
      <c r="C111" s="840">
        <f>SUM(D111,E111,H111:N111)</f>
        <v>321</v>
      </c>
      <c r="D111" s="841">
        <v>24</v>
      </c>
      <c r="E111" s="808">
        <f>SUM(F111:G111)</f>
        <v>61</v>
      </c>
      <c r="F111" s="841">
        <v>7</v>
      </c>
      <c r="G111" s="841">
        <v>54</v>
      </c>
      <c r="H111" s="841">
        <v>0</v>
      </c>
      <c r="I111" s="841">
        <v>236</v>
      </c>
      <c r="J111" s="406">
        <v>0</v>
      </c>
      <c r="K111" s="406">
        <v>0</v>
      </c>
      <c r="L111" s="406">
        <v>0</v>
      </c>
      <c r="M111" s="406">
        <v>0</v>
      </c>
      <c r="N111" s="406">
        <v>0</v>
      </c>
    </row>
    <row r="112" spans="1:14" ht="15" hidden="1">
      <c r="A112" s="508" t="s">
        <v>1</v>
      </c>
      <c r="B112" s="394" t="s">
        <v>133</v>
      </c>
      <c r="C112" s="840">
        <f>SUM(D112,E112,H112:N112)</f>
        <v>0</v>
      </c>
      <c r="D112" s="810"/>
      <c r="E112" s="808">
        <f>SUM(F112:G112)</f>
        <v>0</v>
      </c>
      <c r="F112" s="841">
        <v>0</v>
      </c>
      <c r="G112" s="841"/>
      <c r="H112" s="841"/>
      <c r="I112" s="841">
        <v>0</v>
      </c>
      <c r="J112" s="841"/>
      <c r="K112" s="841">
        <v>0</v>
      </c>
      <c r="L112" s="841">
        <v>0</v>
      </c>
      <c r="M112" s="841">
        <v>0</v>
      </c>
      <c r="N112" s="841">
        <v>0</v>
      </c>
    </row>
    <row r="113" spans="1:14" ht="15" hidden="1">
      <c r="A113" s="508" t="s">
        <v>9</v>
      </c>
      <c r="B113" s="394" t="s">
        <v>134</v>
      </c>
      <c r="C113" s="840">
        <f>SUM(D113,E113,H113:N113)</f>
        <v>0</v>
      </c>
      <c r="D113" s="810"/>
      <c r="E113" s="808">
        <f>SUM(F113:G113)</f>
        <v>0</v>
      </c>
      <c r="F113" s="406">
        <v>0</v>
      </c>
      <c r="G113" s="406">
        <v>0</v>
      </c>
      <c r="H113" s="406">
        <v>0</v>
      </c>
      <c r="I113" s="406">
        <v>0</v>
      </c>
      <c r="J113" s="406">
        <v>0</v>
      </c>
      <c r="K113" s="406">
        <v>0</v>
      </c>
      <c r="L113" s="406">
        <v>0</v>
      </c>
      <c r="M113" s="406">
        <v>0</v>
      </c>
      <c r="N113" s="406">
        <v>0</v>
      </c>
    </row>
    <row r="114" spans="1:14" ht="15" hidden="1">
      <c r="A114" s="508" t="s">
        <v>135</v>
      </c>
      <c r="B114" s="394" t="s">
        <v>136</v>
      </c>
      <c r="C114" s="806">
        <f>SUM(D114,E114,H114:N114)</f>
        <v>706</v>
      </c>
      <c r="D114" s="807">
        <f>D109-SUM(D112,D113)</f>
        <v>71</v>
      </c>
      <c r="E114" s="807">
        <f>E109-SUM(E112,E113)</f>
        <v>391</v>
      </c>
      <c r="F114" s="807">
        <f aca="true" t="shared" si="38" ref="F114:M114">F109-SUM(F112,F113)</f>
        <v>39</v>
      </c>
      <c r="G114" s="807">
        <f t="shared" si="38"/>
        <v>352</v>
      </c>
      <c r="H114" s="807">
        <f t="shared" si="38"/>
        <v>0</v>
      </c>
      <c r="I114" s="807">
        <f t="shared" si="38"/>
        <v>244</v>
      </c>
      <c r="J114" s="807">
        <f t="shared" si="38"/>
        <v>0</v>
      </c>
      <c r="K114" s="807">
        <f t="shared" si="38"/>
        <v>0</v>
      </c>
      <c r="L114" s="807">
        <f t="shared" si="38"/>
        <v>0</v>
      </c>
      <c r="M114" s="807">
        <f t="shared" si="38"/>
        <v>0</v>
      </c>
      <c r="N114" s="807">
        <f>N109-SUM(N112,N113)</f>
        <v>0</v>
      </c>
    </row>
    <row r="115" spans="1:14" ht="15" hidden="1">
      <c r="A115" s="508" t="s">
        <v>51</v>
      </c>
      <c r="B115" s="430" t="s">
        <v>137</v>
      </c>
      <c r="C115" s="806">
        <f>C116+C117+C118+C119+C120+C121+C122</f>
        <v>406</v>
      </c>
      <c r="D115" s="806">
        <f>D116+D117+D118+D119+D120+D121+D122</f>
        <v>46</v>
      </c>
      <c r="E115" s="806">
        <f>F115+G115</f>
        <v>121</v>
      </c>
      <c r="F115" s="806">
        <f aca="true" t="shared" si="39" ref="F115:M115">F116+F117+F118+F119+F120+F121+F122</f>
        <v>26</v>
      </c>
      <c r="G115" s="806">
        <f t="shared" si="39"/>
        <v>95</v>
      </c>
      <c r="H115" s="806">
        <f t="shared" si="39"/>
        <v>0</v>
      </c>
      <c r="I115" s="806">
        <f t="shared" si="39"/>
        <v>239</v>
      </c>
      <c r="J115" s="806">
        <f t="shared" si="39"/>
        <v>0</v>
      </c>
      <c r="K115" s="806">
        <f t="shared" si="39"/>
        <v>0</v>
      </c>
      <c r="L115" s="806">
        <f t="shared" si="39"/>
        <v>0</v>
      </c>
      <c r="M115" s="806">
        <f t="shared" si="39"/>
        <v>0</v>
      </c>
      <c r="N115" s="806">
        <f>N116+N117+N118+N119+N120+N121+N122</f>
        <v>0</v>
      </c>
    </row>
    <row r="116" spans="1:14" ht="15" hidden="1">
      <c r="A116" s="507" t="s">
        <v>53</v>
      </c>
      <c r="B116" s="429" t="s">
        <v>138</v>
      </c>
      <c r="C116" s="811">
        <f aca="true" t="shared" si="40" ref="C116:C122">SUM(D116,E116,H116:N116)</f>
        <v>341</v>
      </c>
      <c r="D116" s="841">
        <v>20</v>
      </c>
      <c r="E116" s="808">
        <f aca="true" t="shared" si="41" ref="E116:E122">SUM(F116:G116)</f>
        <v>85</v>
      </c>
      <c r="F116" s="841">
        <v>23</v>
      </c>
      <c r="G116" s="841">
        <v>62</v>
      </c>
      <c r="H116" s="841">
        <v>0</v>
      </c>
      <c r="I116" s="841">
        <v>236</v>
      </c>
      <c r="J116" s="841">
        <v>0</v>
      </c>
      <c r="K116" s="841">
        <v>0</v>
      </c>
      <c r="L116" s="841">
        <v>0</v>
      </c>
      <c r="M116" s="841">
        <v>0</v>
      </c>
      <c r="N116" s="841">
        <v>0</v>
      </c>
    </row>
    <row r="117" spans="1:14" ht="15" hidden="1">
      <c r="A117" s="507" t="s">
        <v>54</v>
      </c>
      <c r="B117" s="429" t="s">
        <v>139</v>
      </c>
      <c r="C117" s="811">
        <f t="shared" si="40"/>
        <v>5</v>
      </c>
      <c r="D117" s="841">
        <v>1</v>
      </c>
      <c r="E117" s="808">
        <f t="shared" si="41"/>
        <v>4</v>
      </c>
      <c r="F117" s="841">
        <v>1</v>
      </c>
      <c r="G117" s="841">
        <v>3</v>
      </c>
      <c r="H117" s="841">
        <v>0</v>
      </c>
      <c r="I117" s="841">
        <v>0</v>
      </c>
      <c r="J117" s="841">
        <v>0</v>
      </c>
      <c r="K117" s="841">
        <v>0</v>
      </c>
      <c r="L117" s="841">
        <v>0</v>
      </c>
      <c r="M117" s="841">
        <v>0</v>
      </c>
      <c r="N117" s="841">
        <v>0</v>
      </c>
    </row>
    <row r="118" spans="1:14" ht="15" hidden="1">
      <c r="A118" s="507" t="s">
        <v>140</v>
      </c>
      <c r="B118" s="429" t="s">
        <v>141</v>
      </c>
      <c r="C118" s="811">
        <f t="shared" si="40"/>
        <v>49</v>
      </c>
      <c r="D118" s="841">
        <v>17</v>
      </c>
      <c r="E118" s="808">
        <f t="shared" si="41"/>
        <v>29</v>
      </c>
      <c r="F118" s="841">
        <v>2</v>
      </c>
      <c r="G118" s="841">
        <v>27</v>
      </c>
      <c r="H118" s="841">
        <v>0</v>
      </c>
      <c r="I118" s="841">
        <v>3</v>
      </c>
      <c r="J118" s="841">
        <v>0</v>
      </c>
      <c r="K118" s="841">
        <v>0</v>
      </c>
      <c r="L118" s="841">
        <v>0</v>
      </c>
      <c r="M118" s="841">
        <v>0</v>
      </c>
      <c r="N118" s="841">
        <v>0</v>
      </c>
    </row>
    <row r="119" spans="1:14" ht="15" hidden="1">
      <c r="A119" s="507" t="s">
        <v>142</v>
      </c>
      <c r="B119" s="429" t="s">
        <v>143</v>
      </c>
      <c r="C119" s="812">
        <f t="shared" si="40"/>
        <v>7</v>
      </c>
      <c r="D119" s="841">
        <v>7</v>
      </c>
      <c r="E119" s="813">
        <f t="shared" si="41"/>
        <v>0</v>
      </c>
      <c r="F119" s="841">
        <v>0</v>
      </c>
      <c r="G119" s="841">
        <v>0</v>
      </c>
      <c r="H119" s="841">
        <v>0</v>
      </c>
      <c r="I119" s="841">
        <v>0</v>
      </c>
      <c r="J119" s="841">
        <v>0</v>
      </c>
      <c r="K119" s="841">
        <v>0</v>
      </c>
      <c r="L119" s="841">
        <v>0</v>
      </c>
      <c r="M119" s="841">
        <v>0</v>
      </c>
      <c r="N119" s="841">
        <v>0</v>
      </c>
    </row>
    <row r="120" spans="1:14" ht="15" hidden="1">
      <c r="A120" s="507" t="s">
        <v>144</v>
      </c>
      <c r="B120" s="429" t="s">
        <v>145</v>
      </c>
      <c r="C120" s="811">
        <f t="shared" si="40"/>
        <v>0</v>
      </c>
      <c r="D120" s="841">
        <v>0</v>
      </c>
      <c r="E120" s="808">
        <f t="shared" si="41"/>
        <v>0</v>
      </c>
      <c r="F120" s="841">
        <v>0</v>
      </c>
      <c r="G120" s="841">
        <v>0</v>
      </c>
      <c r="H120" s="841">
        <v>0</v>
      </c>
      <c r="I120" s="841">
        <v>0</v>
      </c>
      <c r="J120" s="841">
        <v>0</v>
      </c>
      <c r="K120" s="841">
        <v>0</v>
      </c>
      <c r="L120" s="841">
        <v>0</v>
      </c>
      <c r="M120" s="841">
        <v>0</v>
      </c>
      <c r="N120" s="841">
        <v>0</v>
      </c>
    </row>
    <row r="121" spans="1:14" ht="25.5" hidden="1">
      <c r="A121" s="507" t="s">
        <v>146</v>
      </c>
      <c r="B121" s="431" t="s">
        <v>147</v>
      </c>
      <c r="C121" s="811">
        <f t="shared" si="40"/>
        <v>0</v>
      </c>
      <c r="D121" s="841">
        <v>0</v>
      </c>
      <c r="E121" s="808">
        <f t="shared" si="41"/>
        <v>0</v>
      </c>
      <c r="F121" s="841">
        <v>0</v>
      </c>
      <c r="G121" s="841">
        <v>0</v>
      </c>
      <c r="H121" s="841">
        <v>0</v>
      </c>
      <c r="I121" s="841">
        <v>0</v>
      </c>
      <c r="J121" s="841">
        <v>0</v>
      </c>
      <c r="K121" s="841">
        <v>0</v>
      </c>
      <c r="L121" s="841">
        <v>0</v>
      </c>
      <c r="M121" s="841">
        <v>0</v>
      </c>
      <c r="N121" s="841">
        <v>0</v>
      </c>
    </row>
    <row r="122" spans="1:14" ht="15" hidden="1">
      <c r="A122" s="507" t="s">
        <v>148</v>
      </c>
      <c r="B122" s="429" t="s">
        <v>149</v>
      </c>
      <c r="C122" s="811">
        <f t="shared" si="40"/>
        <v>4</v>
      </c>
      <c r="D122" s="841">
        <v>1</v>
      </c>
      <c r="E122" s="808">
        <f t="shared" si="41"/>
        <v>3</v>
      </c>
      <c r="F122" s="841">
        <v>0</v>
      </c>
      <c r="G122" s="841">
        <v>3</v>
      </c>
      <c r="H122" s="841">
        <v>0</v>
      </c>
      <c r="I122" s="841">
        <v>0</v>
      </c>
      <c r="J122" s="841">
        <v>0</v>
      </c>
      <c r="K122" s="841">
        <v>0</v>
      </c>
      <c r="L122" s="841">
        <v>0</v>
      </c>
      <c r="M122" s="841">
        <v>0</v>
      </c>
      <c r="N122" s="841">
        <v>0</v>
      </c>
    </row>
    <row r="123" spans="1:14" ht="15" hidden="1">
      <c r="A123" s="508" t="s">
        <v>52</v>
      </c>
      <c r="B123" s="394" t="s">
        <v>150</v>
      </c>
      <c r="C123" s="806">
        <f>SUM(D123,E123,H123:N123)</f>
        <v>300</v>
      </c>
      <c r="D123" s="806">
        <f>D114-D115</f>
        <v>25</v>
      </c>
      <c r="E123" s="807">
        <f>SUM(F123:G123)</f>
        <v>270</v>
      </c>
      <c r="F123" s="806">
        <f aca="true" t="shared" si="42" ref="F123:N123">F114-F115</f>
        <v>13</v>
      </c>
      <c r="G123" s="806">
        <f t="shared" si="42"/>
        <v>257</v>
      </c>
      <c r="H123" s="806">
        <f t="shared" si="42"/>
        <v>0</v>
      </c>
      <c r="I123" s="806">
        <f t="shared" si="42"/>
        <v>5</v>
      </c>
      <c r="J123" s="806">
        <f t="shared" si="42"/>
        <v>0</v>
      </c>
      <c r="K123" s="806">
        <f t="shared" si="42"/>
        <v>0</v>
      </c>
      <c r="L123" s="806">
        <f t="shared" si="42"/>
        <v>0</v>
      </c>
      <c r="M123" s="806">
        <f t="shared" si="42"/>
        <v>0</v>
      </c>
      <c r="N123" s="806">
        <f t="shared" si="42"/>
        <v>0</v>
      </c>
    </row>
    <row r="124" spans="1:14" ht="0.75" customHeight="1" hidden="1">
      <c r="A124" s="508" t="s">
        <v>540</v>
      </c>
      <c r="B124" s="432" t="s">
        <v>151</v>
      </c>
      <c r="C124" s="413">
        <f>(C116+C117)/C115</f>
        <v>0.8522167487684729</v>
      </c>
      <c r="D124" s="413">
        <f aca="true" t="shared" si="43" ref="D124:N124">(D116+C117)/D115</f>
        <v>0.5434782608695652</v>
      </c>
      <c r="E124" s="413">
        <f t="shared" si="43"/>
        <v>0.7107438016528925</v>
      </c>
      <c r="F124" s="413">
        <f t="shared" si="43"/>
        <v>1.0384615384615385</v>
      </c>
      <c r="G124" s="413">
        <f t="shared" si="43"/>
        <v>0.6631578947368421</v>
      </c>
      <c r="H124" s="413" t="e">
        <f t="shared" si="43"/>
        <v>#DIV/0!</v>
      </c>
      <c r="I124" s="413">
        <f t="shared" si="43"/>
        <v>0.9874476987447699</v>
      </c>
      <c r="J124" s="413" t="e">
        <f>(J116+I117)/J115</f>
        <v>#DIV/0!</v>
      </c>
      <c r="K124" s="413" t="e">
        <f t="shared" si="43"/>
        <v>#DIV/0!</v>
      </c>
      <c r="L124" s="413" t="e">
        <f t="shared" si="43"/>
        <v>#DIV/0!</v>
      </c>
      <c r="M124" s="413" t="e">
        <f t="shared" si="43"/>
        <v>#DIV/0!</v>
      </c>
      <c r="N124" s="413" t="e">
        <f t="shared" si="43"/>
        <v>#DIV/0!</v>
      </c>
    </row>
    <row r="125" ht="15" hidden="1"/>
    <row r="126" ht="15" hidden="1">
      <c r="B126" s="388" t="s">
        <v>740</v>
      </c>
    </row>
    <row r="127" spans="1:14" ht="15" customHeight="1" hidden="1">
      <c r="A127" s="1478" t="s">
        <v>68</v>
      </c>
      <c r="B127" s="1479"/>
      <c r="C127" s="1484" t="s">
        <v>37</v>
      </c>
      <c r="D127" s="1487" t="s">
        <v>335</v>
      </c>
      <c r="E127" s="1488"/>
      <c r="F127" s="1488"/>
      <c r="G127" s="1488"/>
      <c r="H127" s="1488"/>
      <c r="I127" s="1488"/>
      <c r="J127" s="1488"/>
      <c r="K127" s="1488"/>
      <c r="L127" s="1488"/>
      <c r="M127" s="1488"/>
      <c r="N127" s="1489"/>
    </row>
    <row r="128" spans="1:14" ht="15" customHeight="1" hidden="1">
      <c r="A128" s="1480"/>
      <c r="B128" s="1481"/>
      <c r="C128" s="1485"/>
      <c r="D128" s="1490" t="s">
        <v>119</v>
      </c>
      <c r="E128" s="1476" t="s">
        <v>120</v>
      </c>
      <c r="F128" s="1493"/>
      <c r="G128" s="1477"/>
      <c r="H128" s="1473" t="s">
        <v>121</v>
      </c>
      <c r="I128" s="1473" t="s">
        <v>122</v>
      </c>
      <c r="J128" s="1473" t="s">
        <v>123</v>
      </c>
      <c r="K128" s="1473" t="s">
        <v>124</v>
      </c>
      <c r="L128" s="1473" t="s">
        <v>125</v>
      </c>
      <c r="M128" s="1473" t="s">
        <v>126</v>
      </c>
      <c r="N128" s="1473" t="s">
        <v>127</v>
      </c>
    </row>
    <row r="129" spans="1:14" ht="15" hidden="1">
      <c r="A129" s="1480"/>
      <c r="B129" s="1481"/>
      <c r="C129" s="1485"/>
      <c r="D129" s="1491"/>
      <c r="E129" s="1473" t="s">
        <v>36</v>
      </c>
      <c r="F129" s="1476" t="s">
        <v>7</v>
      </c>
      <c r="G129" s="1477"/>
      <c r="H129" s="1474"/>
      <c r="I129" s="1474"/>
      <c r="J129" s="1474"/>
      <c r="K129" s="1474"/>
      <c r="L129" s="1474"/>
      <c r="M129" s="1474"/>
      <c r="N129" s="1474"/>
    </row>
    <row r="130" spans="1:14" ht="15" hidden="1">
      <c r="A130" s="1482"/>
      <c r="B130" s="1483"/>
      <c r="C130" s="1486"/>
      <c r="D130" s="1492"/>
      <c r="E130" s="1475"/>
      <c r="F130" s="559" t="s">
        <v>199</v>
      </c>
      <c r="G130" s="560" t="s">
        <v>200</v>
      </c>
      <c r="H130" s="1475"/>
      <c r="I130" s="1475"/>
      <c r="J130" s="1475"/>
      <c r="K130" s="1475"/>
      <c r="L130" s="1475"/>
      <c r="M130" s="1475"/>
      <c r="N130" s="1475"/>
    </row>
    <row r="131" spans="1:14" ht="15" hidden="1">
      <c r="A131" s="1471" t="s">
        <v>39</v>
      </c>
      <c r="B131" s="1472"/>
      <c r="C131" s="505">
        <v>1</v>
      </c>
      <c r="D131" s="505">
        <v>2</v>
      </c>
      <c r="E131" s="505">
        <v>3</v>
      </c>
      <c r="F131" s="505">
        <v>4</v>
      </c>
      <c r="G131" s="505">
        <v>5</v>
      </c>
      <c r="H131" s="505">
        <v>6</v>
      </c>
      <c r="I131" s="505">
        <v>7</v>
      </c>
      <c r="J131" s="505">
        <v>8</v>
      </c>
      <c r="K131" s="505">
        <v>9</v>
      </c>
      <c r="L131" s="505">
        <v>10</v>
      </c>
      <c r="M131" s="505">
        <v>11</v>
      </c>
      <c r="N131" s="505">
        <v>12</v>
      </c>
    </row>
    <row r="132" spans="1:14" ht="15" hidden="1">
      <c r="A132" s="506" t="s">
        <v>0</v>
      </c>
      <c r="B132" s="427" t="s">
        <v>130</v>
      </c>
      <c r="C132" s="806">
        <f aca="true" t="shared" si="44" ref="C132:C137">SUM(D132,E132,H132:N132)</f>
        <v>351</v>
      </c>
      <c r="D132" s="807">
        <f aca="true" t="shared" si="45" ref="D132:N132">SUM(D133:D134)</f>
        <v>43</v>
      </c>
      <c r="E132" s="807">
        <f t="shared" si="45"/>
        <v>133</v>
      </c>
      <c r="F132" s="807">
        <f t="shared" si="45"/>
        <v>15</v>
      </c>
      <c r="G132" s="807">
        <f t="shared" si="45"/>
        <v>118</v>
      </c>
      <c r="H132" s="807">
        <f t="shared" si="45"/>
        <v>0</v>
      </c>
      <c r="I132" s="807">
        <f t="shared" si="45"/>
        <v>174</v>
      </c>
      <c r="J132" s="807">
        <f t="shared" si="45"/>
        <v>1</v>
      </c>
      <c r="K132" s="807">
        <f t="shared" si="45"/>
        <v>0</v>
      </c>
      <c r="L132" s="807">
        <f t="shared" si="45"/>
        <v>0</v>
      </c>
      <c r="M132" s="807">
        <f t="shared" si="45"/>
        <v>0</v>
      </c>
      <c r="N132" s="807">
        <f t="shared" si="45"/>
        <v>0</v>
      </c>
    </row>
    <row r="133" spans="1:14" ht="15" hidden="1">
      <c r="A133" s="507">
        <v>1</v>
      </c>
      <c r="B133" s="429" t="s">
        <v>131</v>
      </c>
      <c r="C133" s="840">
        <f t="shared" si="44"/>
        <v>68</v>
      </c>
      <c r="D133" s="1128">
        <v>8</v>
      </c>
      <c r="E133" s="808">
        <f>SUM(F133:G133)</f>
        <v>56</v>
      </c>
      <c r="F133" s="1128">
        <v>4</v>
      </c>
      <c r="G133" s="1128">
        <v>52</v>
      </c>
      <c r="H133" s="1128"/>
      <c r="I133" s="1128">
        <v>3</v>
      </c>
      <c r="J133" s="1128">
        <v>1</v>
      </c>
      <c r="K133" s="1128"/>
      <c r="L133" s="914"/>
      <c r="M133" s="914"/>
      <c r="N133" s="916"/>
    </row>
    <row r="134" spans="1:14" ht="15" hidden="1">
      <c r="A134" s="507">
        <v>2</v>
      </c>
      <c r="B134" s="429" t="s">
        <v>132</v>
      </c>
      <c r="C134" s="840">
        <f t="shared" si="44"/>
        <v>283</v>
      </c>
      <c r="D134" s="1128">
        <v>35</v>
      </c>
      <c r="E134" s="808">
        <f>SUM(F134:G134)</f>
        <v>77</v>
      </c>
      <c r="F134" s="1128">
        <v>11</v>
      </c>
      <c r="G134" s="1128">
        <v>66</v>
      </c>
      <c r="H134" s="1128"/>
      <c r="I134" s="916">
        <v>171</v>
      </c>
      <c r="J134" s="916"/>
      <c r="K134" s="916"/>
      <c r="L134" s="914"/>
      <c r="M134" s="914"/>
      <c r="N134" s="916"/>
    </row>
    <row r="135" spans="1:14" ht="15" hidden="1">
      <c r="A135" s="508" t="s">
        <v>1</v>
      </c>
      <c r="B135" s="394" t="s">
        <v>133</v>
      </c>
      <c r="C135" s="840">
        <f t="shared" si="44"/>
        <v>0</v>
      </c>
      <c r="D135" s="915"/>
      <c r="E135" s="808">
        <f>SUM(F135:G135)</f>
        <v>0</v>
      </c>
      <c r="F135" s="915"/>
      <c r="G135" s="915"/>
      <c r="H135" s="915"/>
      <c r="I135" s="915"/>
      <c r="J135" s="915"/>
      <c r="K135" s="915"/>
      <c r="L135" s="915"/>
      <c r="M135" s="915"/>
      <c r="N135" s="916"/>
    </row>
    <row r="136" spans="1:14" ht="15" hidden="1">
      <c r="A136" s="508" t="s">
        <v>9</v>
      </c>
      <c r="B136" s="394" t="s">
        <v>134</v>
      </c>
      <c r="C136" s="840">
        <f t="shared" si="44"/>
        <v>0</v>
      </c>
      <c r="D136" s="810"/>
      <c r="E136" s="808">
        <f>SUM(F136:G136)</f>
        <v>0</v>
      </c>
      <c r="F136" s="841"/>
      <c r="G136" s="841"/>
      <c r="H136" s="841"/>
      <c r="I136" s="841"/>
      <c r="J136" s="841"/>
      <c r="K136" s="841"/>
      <c r="L136" s="841"/>
      <c r="M136" s="841"/>
      <c r="N136" s="841"/>
    </row>
    <row r="137" spans="1:14" ht="15" hidden="1">
      <c r="A137" s="508" t="s">
        <v>135</v>
      </c>
      <c r="B137" s="394" t="s">
        <v>136</v>
      </c>
      <c r="C137" s="806">
        <f t="shared" si="44"/>
        <v>351</v>
      </c>
      <c r="D137" s="807">
        <f>D132-SUM(D135,D136)</f>
        <v>43</v>
      </c>
      <c r="E137" s="807">
        <f>E132-SUM(E135,E136)</f>
        <v>133</v>
      </c>
      <c r="F137" s="807">
        <f aca="true" t="shared" si="46" ref="F137:M137">F132-SUM(F135,F136)</f>
        <v>15</v>
      </c>
      <c r="G137" s="807">
        <f t="shared" si="46"/>
        <v>118</v>
      </c>
      <c r="H137" s="807">
        <f t="shared" si="46"/>
        <v>0</v>
      </c>
      <c r="I137" s="807">
        <f t="shared" si="46"/>
        <v>174</v>
      </c>
      <c r="J137" s="807">
        <f t="shared" si="46"/>
        <v>1</v>
      </c>
      <c r="K137" s="807">
        <f t="shared" si="46"/>
        <v>0</v>
      </c>
      <c r="L137" s="807">
        <f t="shared" si="46"/>
        <v>0</v>
      </c>
      <c r="M137" s="807">
        <f t="shared" si="46"/>
        <v>0</v>
      </c>
      <c r="N137" s="807">
        <f>N132-SUM(N135,N136)</f>
        <v>0</v>
      </c>
    </row>
    <row r="138" spans="1:14" ht="15" hidden="1">
      <c r="A138" s="508" t="s">
        <v>51</v>
      </c>
      <c r="B138" s="430" t="s">
        <v>137</v>
      </c>
      <c r="C138" s="806">
        <f>C139+C140+C141+C142+C143+C144+C145</f>
        <v>290</v>
      </c>
      <c r="D138" s="806">
        <f>D139+D140+D141+D142+D143+D144+D145</f>
        <v>37</v>
      </c>
      <c r="E138" s="806">
        <f>F138+G138</f>
        <v>79</v>
      </c>
      <c r="F138" s="806">
        <f aca="true" t="shared" si="47" ref="F138:M138">F139+F140+F141+F142+F143+F144+F145</f>
        <v>11</v>
      </c>
      <c r="G138" s="806">
        <f t="shared" si="47"/>
        <v>68</v>
      </c>
      <c r="H138" s="806">
        <f t="shared" si="47"/>
        <v>0</v>
      </c>
      <c r="I138" s="806">
        <f t="shared" si="47"/>
        <v>173</v>
      </c>
      <c r="J138" s="806">
        <f t="shared" si="47"/>
        <v>1</v>
      </c>
      <c r="K138" s="806">
        <f t="shared" si="47"/>
        <v>0</v>
      </c>
      <c r="L138" s="806">
        <f t="shared" si="47"/>
        <v>0</v>
      </c>
      <c r="M138" s="806">
        <f t="shared" si="47"/>
        <v>0</v>
      </c>
      <c r="N138" s="806">
        <f>N139+N140+N141+N142+N143+N144+N145</f>
        <v>0</v>
      </c>
    </row>
    <row r="139" spans="1:14" ht="15" hidden="1">
      <c r="A139" s="507" t="s">
        <v>53</v>
      </c>
      <c r="B139" s="429" t="s">
        <v>138</v>
      </c>
      <c r="C139" s="811">
        <f aca="true" t="shared" si="48" ref="C139:C145">SUM(D139,E139,H139:N139)</f>
        <v>282</v>
      </c>
      <c r="D139" s="1129">
        <v>36</v>
      </c>
      <c r="E139" s="808">
        <f aca="true" t="shared" si="49" ref="E139:E145">SUM(F139:G139)</f>
        <v>74</v>
      </c>
      <c r="F139" s="1129">
        <v>10</v>
      </c>
      <c r="G139" s="1129">
        <v>64</v>
      </c>
      <c r="H139" s="1129"/>
      <c r="I139" s="1129">
        <v>172</v>
      </c>
      <c r="J139" s="1129"/>
      <c r="K139" s="1129"/>
      <c r="L139" s="1129"/>
      <c r="M139" s="917"/>
      <c r="N139" s="916"/>
    </row>
    <row r="140" spans="1:14" ht="15" hidden="1">
      <c r="A140" s="507" t="s">
        <v>54</v>
      </c>
      <c r="B140" s="429" t="s">
        <v>139</v>
      </c>
      <c r="C140" s="811">
        <f t="shared" si="48"/>
        <v>0</v>
      </c>
      <c r="D140" s="1129"/>
      <c r="E140" s="808">
        <f t="shared" si="49"/>
        <v>0</v>
      </c>
      <c r="F140" s="1129"/>
      <c r="G140" s="1129"/>
      <c r="H140" s="1129"/>
      <c r="I140" s="1129"/>
      <c r="J140" s="1129"/>
      <c r="K140" s="1129"/>
      <c r="L140" s="1129"/>
      <c r="M140" s="917"/>
      <c r="N140" s="916"/>
    </row>
    <row r="141" spans="1:14" ht="15" hidden="1">
      <c r="A141" s="507" t="s">
        <v>140</v>
      </c>
      <c r="B141" s="429" t="s">
        <v>141</v>
      </c>
      <c r="C141" s="811">
        <f t="shared" si="48"/>
        <v>8</v>
      </c>
      <c r="D141" s="916">
        <v>1</v>
      </c>
      <c r="E141" s="808">
        <f t="shared" si="49"/>
        <v>5</v>
      </c>
      <c r="F141" s="1129">
        <v>1</v>
      </c>
      <c r="G141" s="1129">
        <v>4</v>
      </c>
      <c r="H141" s="1129"/>
      <c r="I141" s="1129">
        <v>1</v>
      </c>
      <c r="J141" s="1129">
        <v>1</v>
      </c>
      <c r="K141" s="1129"/>
      <c r="L141" s="1129"/>
      <c r="M141" s="917"/>
      <c r="N141" s="916"/>
    </row>
    <row r="142" spans="1:14" ht="15" hidden="1">
      <c r="A142" s="507" t="s">
        <v>142</v>
      </c>
      <c r="B142" s="429" t="s">
        <v>143</v>
      </c>
      <c r="C142" s="812">
        <f t="shared" si="48"/>
        <v>0</v>
      </c>
      <c r="D142" s="915"/>
      <c r="E142" s="813">
        <f t="shared" si="49"/>
        <v>0</v>
      </c>
      <c r="F142" s="1129"/>
      <c r="G142" s="1129"/>
      <c r="H142" s="1129"/>
      <c r="I142" s="1129"/>
      <c r="J142" s="1129"/>
      <c r="K142" s="1129"/>
      <c r="L142" s="1129"/>
      <c r="M142" s="917"/>
      <c r="N142" s="916"/>
    </row>
    <row r="143" spans="1:14" ht="15" hidden="1">
      <c r="A143" s="507" t="s">
        <v>144</v>
      </c>
      <c r="B143" s="429" t="s">
        <v>145</v>
      </c>
      <c r="C143" s="811">
        <f t="shared" si="48"/>
        <v>0</v>
      </c>
      <c r="D143" s="915"/>
      <c r="E143" s="808">
        <f t="shared" si="49"/>
        <v>0</v>
      </c>
      <c r="F143" s="917"/>
      <c r="G143" s="917"/>
      <c r="H143" s="917"/>
      <c r="I143" s="917"/>
      <c r="J143" s="917"/>
      <c r="K143" s="917"/>
      <c r="L143" s="917"/>
      <c r="M143" s="917"/>
      <c r="N143" s="916"/>
    </row>
    <row r="144" spans="1:14" ht="25.5" hidden="1">
      <c r="A144" s="507" t="s">
        <v>146</v>
      </c>
      <c r="B144" s="431" t="s">
        <v>147</v>
      </c>
      <c r="C144" s="811">
        <f t="shared" si="48"/>
        <v>0</v>
      </c>
      <c r="D144" s="915"/>
      <c r="E144" s="808">
        <f t="shared" si="49"/>
        <v>0</v>
      </c>
      <c r="F144" s="917"/>
      <c r="G144" s="917"/>
      <c r="H144" s="917"/>
      <c r="I144" s="917"/>
      <c r="J144" s="917"/>
      <c r="K144" s="917"/>
      <c r="L144" s="917"/>
      <c r="M144" s="917"/>
      <c r="N144" s="916"/>
    </row>
    <row r="145" spans="1:14" ht="15" hidden="1">
      <c r="A145" s="507" t="s">
        <v>148</v>
      </c>
      <c r="B145" s="429" t="s">
        <v>149</v>
      </c>
      <c r="C145" s="811">
        <f t="shared" si="48"/>
        <v>0</v>
      </c>
      <c r="D145" s="841"/>
      <c r="E145" s="808">
        <f t="shared" si="49"/>
        <v>0</v>
      </c>
      <c r="F145" s="406">
        <f>0+0+0</f>
        <v>0</v>
      </c>
      <c r="G145" s="841"/>
      <c r="H145" s="841">
        <f>0+0+0</f>
        <v>0</v>
      </c>
      <c r="I145" s="841"/>
      <c r="J145" s="841"/>
      <c r="K145" s="841"/>
      <c r="L145" s="841"/>
      <c r="M145" s="841"/>
      <c r="N145" s="841"/>
    </row>
    <row r="146" spans="1:14" ht="15" hidden="1">
      <c r="A146" s="508" t="s">
        <v>52</v>
      </c>
      <c r="B146" s="394" t="s">
        <v>150</v>
      </c>
      <c r="C146" s="806">
        <f>SUM(D146,E146,H146:N146)</f>
        <v>61</v>
      </c>
      <c r="D146" s="806">
        <f>D137-D138</f>
        <v>6</v>
      </c>
      <c r="E146" s="807">
        <f>SUM(F146:G146)</f>
        <v>54</v>
      </c>
      <c r="F146" s="806">
        <f aca="true" t="shared" si="50" ref="F146:N146">F137-F138</f>
        <v>4</v>
      </c>
      <c r="G146" s="806">
        <f t="shared" si="50"/>
        <v>50</v>
      </c>
      <c r="H146" s="806">
        <f t="shared" si="50"/>
        <v>0</v>
      </c>
      <c r="I146" s="806">
        <f t="shared" si="50"/>
        <v>1</v>
      </c>
      <c r="J146" s="806">
        <f t="shared" si="50"/>
        <v>0</v>
      </c>
      <c r="K146" s="806">
        <f t="shared" si="50"/>
        <v>0</v>
      </c>
      <c r="L146" s="806">
        <f t="shared" si="50"/>
        <v>0</v>
      </c>
      <c r="M146" s="806">
        <f t="shared" si="50"/>
        <v>0</v>
      </c>
      <c r="N146" s="806">
        <f t="shared" si="50"/>
        <v>0</v>
      </c>
    </row>
    <row r="147" spans="1:14" ht="25.5" hidden="1">
      <c r="A147" s="508" t="s">
        <v>540</v>
      </c>
      <c r="B147" s="432" t="s">
        <v>151</v>
      </c>
      <c r="C147" s="413">
        <f>(C139+C140)/C138</f>
        <v>0.9724137931034482</v>
      </c>
      <c r="D147" s="413">
        <f aca="true" t="shared" si="51" ref="D147:N147">(D139+C140)/D138</f>
        <v>0.972972972972973</v>
      </c>
      <c r="E147" s="413">
        <f t="shared" si="51"/>
        <v>0.9367088607594937</v>
      </c>
      <c r="F147" s="413">
        <f t="shared" si="51"/>
        <v>0.9090909090909091</v>
      </c>
      <c r="G147" s="413">
        <f t="shared" si="51"/>
        <v>0.9411764705882353</v>
      </c>
      <c r="H147" s="413" t="e">
        <f t="shared" si="51"/>
        <v>#DIV/0!</v>
      </c>
      <c r="I147" s="413">
        <f t="shared" si="51"/>
        <v>0.9942196531791907</v>
      </c>
      <c r="J147" s="413">
        <f t="shared" si="51"/>
        <v>0</v>
      </c>
      <c r="K147" s="413" t="e">
        <f t="shared" si="51"/>
        <v>#DIV/0!</v>
      </c>
      <c r="L147" s="413" t="e">
        <f t="shared" si="51"/>
        <v>#DIV/0!</v>
      </c>
      <c r="M147" s="413" t="e">
        <f t="shared" si="51"/>
        <v>#DIV/0!</v>
      </c>
      <c r="N147" s="413" t="e">
        <f t="shared" si="51"/>
        <v>#DIV/0!</v>
      </c>
    </row>
    <row r="148" ht="15" hidden="1"/>
    <row r="149" ht="15" hidden="1">
      <c r="B149" s="904" t="s">
        <v>741</v>
      </c>
    </row>
    <row r="150" spans="1:14" ht="15" customHeight="1" hidden="1">
      <c r="A150" s="1478" t="s">
        <v>68</v>
      </c>
      <c r="B150" s="1479"/>
      <c r="C150" s="1484" t="s">
        <v>37</v>
      </c>
      <c r="D150" s="1487" t="s">
        <v>335</v>
      </c>
      <c r="E150" s="1488"/>
      <c r="F150" s="1488"/>
      <c r="G150" s="1488"/>
      <c r="H150" s="1488"/>
      <c r="I150" s="1488"/>
      <c r="J150" s="1488"/>
      <c r="K150" s="1488"/>
      <c r="L150" s="1488"/>
      <c r="M150" s="1488"/>
      <c r="N150" s="1489"/>
    </row>
    <row r="151" spans="1:14" ht="15" customHeight="1" hidden="1">
      <c r="A151" s="1480"/>
      <c r="B151" s="1481"/>
      <c r="C151" s="1485"/>
      <c r="D151" s="1490" t="s">
        <v>119</v>
      </c>
      <c r="E151" s="1476" t="s">
        <v>120</v>
      </c>
      <c r="F151" s="1493"/>
      <c r="G151" s="1477"/>
      <c r="H151" s="1473" t="s">
        <v>121</v>
      </c>
      <c r="I151" s="1473" t="s">
        <v>122</v>
      </c>
      <c r="J151" s="1473" t="s">
        <v>123</v>
      </c>
      <c r="K151" s="1473" t="s">
        <v>124</v>
      </c>
      <c r="L151" s="1473" t="s">
        <v>125</v>
      </c>
      <c r="M151" s="1473" t="s">
        <v>126</v>
      </c>
      <c r="N151" s="1473" t="s">
        <v>127</v>
      </c>
    </row>
    <row r="152" spans="1:14" ht="15" hidden="1">
      <c r="A152" s="1480"/>
      <c r="B152" s="1481"/>
      <c r="C152" s="1485"/>
      <c r="D152" s="1491"/>
      <c r="E152" s="1473" t="s">
        <v>36</v>
      </c>
      <c r="F152" s="1476" t="s">
        <v>7</v>
      </c>
      <c r="G152" s="1477"/>
      <c r="H152" s="1474"/>
      <c r="I152" s="1474"/>
      <c r="J152" s="1474"/>
      <c r="K152" s="1474"/>
      <c r="L152" s="1474"/>
      <c r="M152" s="1474"/>
      <c r="N152" s="1474"/>
    </row>
    <row r="153" spans="1:14" ht="15" hidden="1">
      <c r="A153" s="1482"/>
      <c r="B153" s="1483"/>
      <c r="C153" s="1486"/>
      <c r="D153" s="1492"/>
      <c r="E153" s="1475"/>
      <c r="F153" s="559" t="s">
        <v>199</v>
      </c>
      <c r="G153" s="560" t="s">
        <v>200</v>
      </c>
      <c r="H153" s="1475"/>
      <c r="I153" s="1475"/>
      <c r="J153" s="1475"/>
      <c r="K153" s="1475"/>
      <c r="L153" s="1475"/>
      <c r="M153" s="1475"/>
      <c r="N153" s="1475"/>
    </row>
    <row r="154" spans="1:14" ht="15" hidden="1">
      <c r="A154" s="1471" t="s">
        <v>39</v>
      </c>
      <c r="B154" s="1472"/>
      <c r="C154" s="505">
        <v>1</v>
      </c>
      <c r="D154" s="505">
        <v>2</v>
      </c>
      <c r="E154" s="505">
        <v>3</v>
      </c>
      <c r="F154" s="505">
        <v>4</v>
      </c>
      <c r="G154" s="505">
        <v>5</v>
      </c>
      <c r="H154" s="505">
        <v>6</v>
      </c>
      <c r="I154" s="505">
        <v>7</v>
      </c>
      <c r="J154" s="505">
        <v>8</v>
      </c>
      <c r="K154" s="505">
        <v>9</v>
      </c>
      <c r="L154" s="505">
        <v>10</v>
      </c>
      <c r="M154" s="505">
        <v>11</v>
      </c>
      <c r="N154" s="505">
        <v>12</v>
      </c>
    </row>
    <row r="155" spans="1:14" ht="15" hidden="1">
      <c r="A155" s="506" t="s">
        <v>0</v>
      </c>
      <c r="B155" s="427" t="s">
        <v>130</v>
      </c>
      <c r="C155" s="806">
        <f aca="true" t="shared" si="52" ref="C155:C160">SUM(D155,E155,H155:N155)</f>
        <v>376</v>
      </c>
      <c r="D155" s="807">
        <f aca="true" t="shared" si="53" ref="D155:N155">SUM(D156:D157)</f>
        <v>41</v>
      </c>
      <c r="E155" s="807">
        <f t="shared" si="53"/>
        <v>151</v>
      </c>
      <c r="F155" s="807">
        <f t="shared" si="53"/>
        <v>45</v>
      </c>
      <c r="G155" s="807">
        <f t="shared" si="53"/>
        <v>106</v>
      </c>
      <c r="H155" s="807">
        <f t="shared" si="53"/>
        <v>0</v>
      </c>
      <c r="I155" s="807">
        <f t="shared" si="53"/>
        <v>144</v>
      </c>
      <c r="J155" s="807">
        <f t="shared" si="53"/>
        <v>1</v>
      </c>
      <c r="K155" s="807">
        <f t="shared" si="53"/>
        <v>0</v>
      </c>
      <c r="L155" s="807">
        <f t="shared" si="53"/>
        <v>0</v>
      </c>
      <c r="M155" s="807">
        <f t="shared" si="53"/>
        <v>0</v>
      </c>
      <c r="N155" s="807">
        <f t="shared" si="53"/>
        <v>39</v>
      </c>
    </row>
    <row r="156" spans="1:14" ht="15.75" hidden="1">
      <c r="A156" s="507">
        <v>1</v>
      </c>
      <c r="B156" s="429" t="s">
        <v>131</v>
      </c>
      <c r="C156" s="840">
        <f t="shared" si="52"/>
        <v>111</v>
      </c>
      <c r="D156" s="818">
        <f>2+7+9</f>
        <v>18</v>
      </c>
      <c r="E156" s="808">
        <f>SUM(F156:G156)</f>
        <v>87</v>
      </c>
      <c r="F156" s="906">
        <f>2+7+23</f>
        <v>32</v>
      </c>
      <c r="G156" s="906">
        <f>12+22+21</f>
        <v>55</v>
      </c>
      <c r="H156" s="906"/>
      <c r="I156" s="906">
        <f>1+3+0</f>
        <v>4</v>
      </c>
      <c r="J156" s="906">
        <v>1</v>
      </c>
      <c r="K156" s="906"/>
      <c r="L156" s="906"/>
      <c r="M156" s="906"/>
      <c r="N156" s="906">
        <f>1+0</f>
        <v>1</v>
      </c>
    </row>
    <row r="157" spans="1:14" ht="15.75" hidden="1">
      <c r="A157" s="507">
        <v>2</v>
      </c>
      <c r="B157" s="429" t="s">
        <v>132</v>
      </c>
      <c r="C157" s="840">
        <f t="shared" si="52"/>
        <v>265</v>
      </c>
      <c r="D157" s="818">
        <f>6+5+12</f>
        <v>23</v>
      </c>
      <c r="E157" s="808">
        <f>SUM(F157:G157)</f>
        <v>64</v>
      </c>
      <c r="F157" s="906">
        <f>0+5+8</f>
        <v>13</v>
      </c>
      <c r="G157" s="906">
        <f>10+21+20</f>
        <v>51</v>
      </c>
      <c r="H157" s="906"/>
      <c r="I157" s="906">
        <f>31+30+79</f>
        <v>140</v>
      </c>
      <c r="J157" s="906">
        <v>0</v>
      </c>
      <c r="K157" s="906"/>
      <c r="L157" s="906"/>
      <c r="M157" s="906"/>
      <c r="N157" s="906">
        <f>0+38+0</f>
        <v>38</v>
      </c>
    </row>
    <row r="158" spans="1:14" ht="15.75" hidden="1">
      <c r="A158" s="508" t="s">
        <v>1</v>
      </c>
      <c r="B158" s="394" t="s">
        <v>133</v>
      </c>
      <c r="C158" s="840">
        <f t="shared" si="52"/>
        <v>0</v>
      </c>
      <c r="D158" s="1089">
        <v>0</v>
      </c>
      <c r="E158" s="808">
        <f>SUM(F158:G158)</f>
        <v>0</v>
      </c>
      <c r="F158" s="906"/>
      <c r="G158" s="906"/>
      <c r="H158" s="906">
        <v>0</v>
      </c>
      <c r="I158" s="906">
        <v>0</v>
      </c>
      <c r="J158" s="906"/>
      <c r="K158" s="906"/>
      <c r="L158" s="906"/>
      <c r="M158" s="906"/>
      <c r="N158" s="906"/>
    </row>
    <row r="159" spans="1:14" ht="15" hidden="1">
      <c r="A159" s="508" t="s">
        <v>9</v>
      </c>
      <c r="B159" s="394" t="s">
        <v>134</v>
      </c>
      <c r="C159" s="840">
        <f t="shared" si="52"/>
        <v>0</v>
      </c>
      <c r="D159" s="810"/>
      <c r="E159" s="808">
        <f>SUM(F159:G159)</f>
        <v>0</v>
      </c>
      <c r="F159" s="841"/>
      <c r="G159" s="841"/>
      <c r="H159" s="841"/>
      <c r="I159" s="841"/>
      <c r="J159" s="841"/>
      <c r="K159" s="841"/>
      <c r="L159" s="841"/>
      <c r="M159" s="841"/>
      <c r="N159" s="841"/>
    </row>
    <row r="160" spans="1:14" ht="15" hidden="1">
      <c r="A160" s="508" t="s">
        <v>135</v>
      </c>
      <c r="B160" s="394" t="s">
        <v>136</v>
      </c>
      <c r="C160" s="806">
        <f t="shared" si="52"/>
        <v>376</v>
      </c>
      <c r="D160" s="807">
        <f>D155-SUM(D158,D159)</f>
        <v>41</v>
      </c>
      <c r="E160" s="807">
        <f>E155-SUM(E158,E159)</f>
        <v>151</v>
      </c>
      <c r="F160" s="807">
        <f aca="true" t="shared" si="54" ref="F160:M160">F155-SUM(F158,F159)</f>
        <v>45</v>
      </c>
      <c r="G160" s="807">
        <f t="shared" si="54"/>
        <v>106</v>
      </c>
      <c r="H160" s="807">
        <f t="shared" si="54"/>
        <v>0</v>
      </c>
      <c r="I160" s="807">
        <f t="shared" si="54"/>
        <v>144</v>
      </c>
      <c r="J160" s="807">
        <f t="shared" si="54"/>
        <v>1</v>
      </c>
      <c r="K160" s="807">
        <f t="shared" si="54"/>
        <v>0</v>
      </c>
      <c r="L160" s="807">
        <f t="shared" si="54"/>
        <v>0</v>
      </c>
      <c r="M160" s="807">
        <f t="shared" si="54"/>
        <v>0</v>
      </c>
      <c r="N160" s="807">
        <f>N155-SUM(N158,N159)</f>
        <v>39</v>
      </c>
    </row>
    <row r="161" spans="1:14" ht="15" hidden="1">
      <c r="A161" s="508" t="s">
        <v>51</v>
      </c>
      <c r="B161" s="430" t="s">
        <v>137</v>
      </c>
      <c r="C161" s="806">
        <f>C162+C163+C164+C165+C166+C167+C168</f>
        <v>283</v>
      </c>
      <c r="D161" s="806">
        <f>D162+D163+D164+D165+D166+D167+D168</f>
        <v>32</v>
      </c>
      <c r="E161" s="806">
        <f>F161+G161</f>
        <v>70</v>
      </c>
      <c r="F161" s="806">
        <f aca="true" t="shared" si="55" ref="F161:M161">F162+F163+F164+F165+F166+F167+F168</f>
        <v>16</v>
      </c>
      <c r="G161" s="806">
        <f t="shared" si="55"/>
        <v>54</v>
      </c>
      <c r="H161" s="806">
        <f t="shared" si="55"/>
        <v>0</v>
      </c>
      <c r="I161" s="806">
        <f t="shared" si="55"/>
        <v>143</v>
      </c>
      <c r="J161" s="806">
        <f t="shared" si="55"/>
        <v>0</v>
      </c>
      <c r="K161" s="806">
        <f t="shared" si="55"/>
        <v>0</v>
      </c>
      <c r="L161" s="806">
        <f t="shared" si="55"/>
        <v>0</v>
      </c>
      <c r="M161" s="806">
        <f t="shared" si="55"/>
        <v>0</v>
      </c>
      <c r="N161" s="806">
        <f>N162+N163+N164+N165+N166+N167+N168</f>
        <v>38</v>
      </c>
    </row>
    <row r="162" spans="1:14" ht="15.75" hidden="1">
      <c r="A162" s="507" t="s">
        <v>53</v>
      </c>
      <c r="B162" s="429" t="s">
        <v>138</v>
      </c>
      <c r="C162" s="811">
        <f aca="true" t="shared" si="56" ref="C162:C168">SUM(D162,E162,H162:N162)</f>
        <v>240</v>
      </c>
      <c r="D162" s="818">
        <f>4+4+13</f>
        <v>21</v>
      </c>
      <c r="E162" s="808">
        <f aca="true" t="shared" si="57" ref="E162:E168">SUM(F162:G162)</f>
        <v>56</v>
      </c>
      <c r="F162" s="906">
        <f>0+6+9</f>
        <v>15</v>
      </c>
      <c r="G162" s="906">
        <f>11+18+12</f>
        <v>41</v>
      </c>
      <c r="H162" s="906"/>
      <c r="I162" s="906">
        <f>28+31+67</f>
        <v>126</v>
      </c>
      <c r="J162" s="906">
        <v>0</v>
      </c>
      <c r="K162" s="906"/>
      <c r="L162" s="906"/>
      <c r="M162" s="906"/>
      <c r="N162" s="906">
        <v>37</v>
      </c>
    </row>
    <row r="163" spans="1:14" ht="15.75" hidden="1">
      <c r="A163" s="507" t="s">
        <v>54</v>
      </c>
      <c r="B163" s="429" t="s">
        <v>139</v>
      </c>
      <c r="C163" s="811">
        <f t="shared" si="56"/>
        <v>4</v>
      </c>
      <c r="D163" s="818"/>
      <c r="E163" s="808">
        <f t="shared" si="57"/>
        <v>4</v>
      </c>
      <c r="F163" s="906">
        <f>0+0+1</f>
        <v>1</v>
      </c>
      <c r="G163" s="906">
        <f>0+0+3</f>
        <v>3</v>
      </c>
      <c r="H163" s="906"/>
      <c r="I163" s="906"/>
      <c r="J163" s="906"/>
      <c r="K163" s="906"/>
      <c r="L163" s="906"/>
      <c r="M163" s="906"/>
      <c r="N163" s="906"/>
    </row>
    <row r="164" spans="1:14" ht="15.75" hidden="1">
      <c r="A164" s="507" t="s">
        <v>140</v>
      </c>
      <c r="B164" s="429" t="s">
        <v>141</v>
      </c>
      <c r="C164" s="811">
        <f t="shared" si="56"/>
        <v>39</v>
      </c>
      <c r="D164" s="818">
        <f>2+6+3</f>
        <v>11</v>
      </c>
      <c r="E164" s="808">
        <f t="shared" si="57"/>
        <v>10</v>
      </c>
      <c r="F164" s="906">
        <f>0+0+0</f>
        <v>0</v>
      </c>
      <c r="G164" s="906">
        <f>2+3+5</f>
        <v>10</v>
      </c>
      <c r="H164" s="906"/>
      <c r="I164" s="906">
        <f>4+1+12</f>
        <v>17</v>
      </c>
      <c r="J164" s="906"/>
      <c r="K164" s="906"/>
      <c r="L164" s="906"/>
      <c r="M164" s="906"/>
      <c r="N164" s="906">
        <v>1</v>
      </c>
    </row>
    <row r="165" spans="1:14" ht="15.75" hidden="1">
      <c r="A165" s="507" t="s">
        <v>142</v>
      </c>
      <c r="B165" s="429" t="s">
        <v>143</v>
      </c>
      <c r="C165" s="812">
        <f t="shared" si="56"/>
        <v>0</v>
      </c>
      <c r="D165" s="818"/>
      <c r="E165" s="813">
        <f t="shared" si="57"/>
        <v>0</v>
      </c>
      <c r="F165" s="906"/>
      <c r="G165" s="906"/>
      <c r="H165" s="906">
        <v>0</v>
      </c>
      <c r="I165" s="906"/>
      <c r="J165" s="906"/>
      <c r="K165" s="906"/>
      <c r="L165" s="906"/>
      <c r="M165" s="906"/>
      <c r="N165" s="906"/>
    </row>
    <row r="166" spans="1:14" ht="15.75" hidden="1">
      <c r="A166" s="507" t="s">
        <v>144</v>
      </c>
      <c r="B166" s="429" t="s">
        <v>145</v>
      </c>
      <c r="C166" s="811">
        <f t="shared" si="56"/>
        <v>0</v>
      </c>
      <c r="D166" s="818"/>
      <c r="E166" s="808">
        <f t="shared" si="57"/>
        <v>0</v>
      </c>
      <c r="F166" s="906"/>
      <c r="G166" s="906"/>
      <c r="H166" s="906">
        <v>0</v>
      </c>
      <c r="I166" s="906"/>
      <c r="J166" s="906"/>
      <c r="K166" s="906"/>
      <c r="L166" s="906"/>
      <c r="M166" s="906"/>
      <c r="N166" s="906"/>
    </row>
    <row r="167" spans="1:14" ht="25.5" hidden="1">
      <c r="A167" s="507" t="s">
        <v>146</v>
      </c>
      <c r="B167" s="431" t="s">
        <v>147</v>
      </c>
      <c r="C167" s="811">
        <f t="shared" si="56"/>
        <v>0</v>
      </c>
      <c r="D167" s="818"/>
      <c r="E167" s="808">
        <f t="shared" si="57"/>
        <v>0</v>
      </c>
      <c r="F167" s="906"/>
      <c r="G167" s="906"/>
      <c r="H167" s="906">
        <v>0</v>
      </c>
      <c r="I167" s="906"/>
      <c r="J167" s="906"/>
      <c r="K167" s="906"/>
      <c r="L167" s="906"/>
      <c r="M167" s="906"/>
      <c r="N167" s="906"/>
    </row>
    <row r="168" spans="1:14" ht="15.75" hidden="1">
      <c r="A168" s="507" t="s">
        <v>148</v>
      </c>
      <c r="B168" s="429" t="s">
        <v>149</v>
      </c>
      <c r="C168" s="811">
        <f t="shared" si="56"/>
        <v>0</v>
      </c>
      <c r="D168" s="818">
        <v>0</v>
      </c>
      <c r="E168" s="808">
        <f t="shared" si="57"/>
        <v>0</v>
      </c>
      <c r="F168" s="906"/>
      <c r="G168" s="906"/>
      <c r="H168" s="906">
        <v>0</v>
      </c>
      <c r="I168" s="906"/>
      <c r="J168" s="906"/>
      <c r="K168" s="906"/>
      <c r="L168" s="906"/>
      <c r="M168" s="906"/>
      <c r="N168" s="906"/>
    </row>
    <row r="169" spans="1:14" ht="15" hidden="1">
      <c r="A169" s="508" t="s">
        <v>52</v>
      </c>
      <c r="B169" s="394" t="s">
        <v>150</v>
      </c>
      <c r="C169" s="806">
        <f>SUM(D169,E169,H169:N169)</f>
        <v>93</v>
      </c>
      <c r="D169" s="806">
        <f>D160-D161</f>
        <v>9</v>
      </c>
      <c r="E169" s="807">
        <f>SUM(F169:G169)</f>
        <v>81</v>
      </c>
      <c r="F169" s="806">
        <f aca="true" t="shared" si="58" ref="F169:N169">F160-F161</f>
        <v>29</v>
      </c>
      <c r="G169" s="806">
        <f t="shared" si="58"/>
        <v>52</v>
      </c>
      <c r="H169" s="806">
        <f t="shared" si="58"/>
        <v>0</v>
      </c>
      <c r="I169" s="806">
        <f t="shared" si="58"/>
        <v>1</v>
      </c>
      <c r="J169" s="806">
        <f t="shared" si="58"/>
        <v>1</v>
      </c>
      <c r="K169" s="806">
        <f t="shared" si="58"/>
        <v>0</v>
      </c>
      <c r="L169" s="806">
        <f t="shared" si="58"/>
        <v>0</v>
      </c>
      <c r="M169" s="806">
        <f t="shared" si="58"/>
        <v>0</v>
      </c>
      <c r="N169" s="806">
        <f t="shared" si="58"/>
        <v>1</v>
      </c>
    </row>
    <row r="170" spans="1:14" ht="25.5" hidden="1">
      <c r="A170" s="508" t="s">
        <v>540</v>
      </c>
      <c r="B170" s="432" t="s">
        <v>151</v>
      </c>
      <c r="C170" s="413">
        <f>(C162+C163)/C161</f>
        <v>0.8621908127208481</v>
      </c>
      <c r="D170" s="413">
        <f aca="true" t="shared" si="59" ref="D170:N170">(D162+C163)/D161</f>
        <v>0.78125</v>
      </c>
      <c r="E170" s="413">
        <f t="shared" si="59"/>
        <v>0.8</v>
      </c>
      <c r="F170" s="413">
        <f t="shared" si="59"/>
        <v>1.1875</v>
      </c>
      <c r="G170" s="413">
        <f t="shared" si="59"/>
        <v>0.7777777777777778</v>
      </c>
      <c r="H170" s="413" t="e">
        <f t="shared" si="59"/>
        <v>#DIV/0!</v>
      </c>
      <c r="I170" s="413">
        <f t="shared" si="59"/>
        <v>0.8811188811188811</v>
      </c>
      <c r="J170" s="413" t="e">
        <f t="shared" si="59"/>
        <v>#DIV/0!</v>
      </c>
      <c r="K170" s="413" t="e">
        <f t="shared" si="59"/>
        <v>#DIV/0!</v>
      </c>
      <c r="L170" s="413" t="e">
        <f t="shared" si="59"/>
        <v>#DIV/0!</v>
      </c>
      <c r="M170" s="413" t="e">
        <f t="shared" si="59"/>
        <v>#DIV/0!</v>
      </c>
      <c r="N170" s="413">
        <f t="shared" si="59"/>
        <v>0.9736842105263158</v>
      </c>
    </row>
    <row r="171" ht="15" hidden="1"/>
    <row r="172" ht="15" hidden="1"/>
    <row r="173" ht="15" hidden="1">
      <c r="B173" s="904" t="s">
        <v>742</v>
      </c>
    </row>
    <row r="174" spans="1:14" ht="15" customHeight="1" hidden="1">
      <c r="A174" s="1478" t="s">
        <v>68</v>
      </c>
      <c r="B174" s="1479"/>
      <c r="C174" s="1484" t="s">
        <v>37</v>
      </c>
      <c r="D174" s="1487" t="s">
        <v>335</v>
      </c>
      <c r="E174" s="1488"/>
      <c r="F174" s="1488"/>
      <c r="G174" s="1488"/>
      <c r="H174" s="1488"/>
      <c r="I174" s="1488"/>
      <c r="J174" s="1488"/>
      <c r="K174" s="1488"/>
      <c r="L174" s="1488"/>
      <c r="M174" s="1488"/>
      <c r="N174" s="1489"/>
    </row>
    <row r="175" spans="1:14" ht="15" customHeight="1" hidden="1">
      <c r="A175" s="1480"/>
      <c r="B175" s="1481"/>
      <c r="C175" s="1485"/>
      <c r="D175" s="1490" t="s">
        <v>119</v>
      </c>
      <c r="E175" s="1476" t="s">
        <v>120</v>
      </c>
      <c r="F175" s="1493"/>
      <c r="G175" s="1477"/>
      <c r="H175" s="1473" t="s">
        <v>121</v>
      </c>
      <c r="I175" s="1473" t="s">
        <v>122</v>
      </c>
      <c r="J175" s="1473" t="s">
        <v>123</v>
      </c>
      <c r="K175" s="1473" t="s">
        <v>124</v>
      </c>
      <c r="L175" s="1473" t="s">
        <v>125</v>
      </c>
      <c r="M175" s="1473" t="s">
        <v>126</v>
      </c>
      <c r="N175" s="1473" t="s">
        <v>127</v>
      </c>
    </row>
    <row r="176" spans="1:14" ht="15" hidden="1">
      <c r="A176" s="1480"/>
      <c r="B176" s="1481"/>
      <c r="C176" s="1485"/>
      <c r="D176" s="1491"/>
      <c r="E176" s="1473" t="s">
        <v>36</v>
      </c>
      <c r="F176" s="1476" t="s">
        <v>7</v>
      </c>
      <c r="G176" s="1477"/>
      <c r="H176" s="1474"/>
      <c r="I176" s="1474"/>
      <c r="J176" s="1474"/>
      <c r="K176" s="1474"/>
      <c r="L176" s="1474"/>
      <c r="M176" s="1474"/>
      <c r="N176" s="1474"/>
    </row>
    <row r="177" spans="1:14" ht="15" hidden="1">
      <c r="A177" s="1482"/>
      <c r="B177" s="1483"/>
      <c r="C177" s="1486"/>
      <c r="D177" s="1492"/>
      <c r="E177" s="1475"/>
      <c r="F177" s="559" t="s">
        <v>199</v>
      </c>
      <c r="G177" s="560" t="s">
        <v>200</v>
      </c>
      <c r="H177" s="1475"/>
      <c r="I177" s="1475"/>
      <c r="J177" s="1475"/>
      <c r="K177" s="1475"/>
      <c r="L177" s="1475"/>
      <c r="M177" s="1475"/>
      <c r="N177" s="1475"/>
    </row>
    <row r="178" spans="1:14" ht="15" hidden="1">
      <c r="A178" s="1471" t="s">
        <v>39</v>
      </c>
      <c r="B178" s="1472"/>
      <c r="C178" s="505">
        <v>1</v>
      </c>
      <c r="D178" s="505">
        <v>2</v>
      </c>
      <c r="E178" s="505">
        <v>3</v>
      </c>
      <c r="F178" s="505">
        <v>4</v>
      </c>
      <c r="G178" s="505">
        <v>5</v>
      </c>
      <c r="H178" s="505">
        <v>6</v>
      </c>
      <c r="I178" s="505">
        <v>7</v>
      </c>
      <c r="J178" s="505">
        <v>8</v>
      </c>
      <c r="K178" s="505">
        <v>9</v>
      </c>
      <c r="L178" s="505">
        <v>10</v>
      </c>
      <c r="M178" s="505">
        <v>11</v>
      </c>
      <c r="N178" s="505">
        <v>12</v>
      </c>
    </row>
    <row r="179" spans="1:14" ht="15" hidden="1">
      <c r="A179" s="506" t="s">
        <v>0</v>
      </c>
      <c r="B179" s="427" t="s">
        <v>130</v>
      </c>
      <c r="C179" s="806">
        <f aca="true" t="shared" si="60" ref="C179:C184">SUM(D179,E179,H179:N179)</f>
        <v>80</v>
      </c>
      <c r="D179" s="807">
        <f aca="true" t="shared" si="61" ref="D179:N179">SUM(D180:D181)</f>
        <v>5</v>
      </c>
      <c r="E179" s="807">
        <f t="shared" si="61"/>
        <v>45</v>
      </c>
      <c r="F179" s="807">
        <f t="shared" si="61"/>
        <v>8</v>
      </c>
      <c r="G179" s="807">
        <f t="shared" si="61"/>
        <v>37</v>
      </c>
      <c r="H179" s="807">
        <f t="shared" si="61"/>
        <v>0</v>
      </c>
      <c r="I179" s="807">
        <f t="shared" si="61"/>
        <v>30</v>
      </c>
      <c r="J179" s="807">
        <f t="shared" si="61"/>
        <v>0</v>
      </c>
      <c r="K179" s="807">
        <f t="shared" si="61"/>
        <v>0</v>
      </c>
      <c r="L179" s="807">
        <f t="shared" si="61"/>
        <v>0</v>
      </c>
      <c r="M179" s="807">
        <f t="shared" si="61"/>
        <v>0</v>
      </c>
      <c r="N179" s="807">
        <f t="shared" si="61"/>
        <v>0</v>
      </c>
    </row>
    <row r="180" spans="1:14" ht="15.75" hidden="1">
      <c r="A180" s="507">
        <v>1</v>
      </c>
      <c r="B180" s="429" t="s">
        <v>131</v>
      </c>
      <c r="C180" s="840">
        <f t="shared" si="60"/>
        <v>34</v>
      </c>
      <c r="D180" s="818">
        <v>5</v>
      </c>
      <c r="E180" s="808">
        <f>SUM(F180:G180)</f>
        <v>29</v>
      </c>
      <c r="F180" s="906">
        <v>4</v>
      </c>
      <c r="G180" s="906">
        <v>25</v>
      </c>
      <c r="H180" s="906"/>
      <c r="I180" s="906">
        <v>0</v>
      </c>
      <c r="J180" s="906"/>
      <c r="K180" s="906"/>
      <c r="L180" s="906"/>
      <c r="M180" s="906"/>
      <c r="N180" s="906"/>
    </row>
    <row r="181" spans="1:14" ht="15.75" hidden="1">
      <c r="A181" s="507">
        <v>2</v>
      </c>
      <c r="B181" s="429" t="s">
        <v>132</v>
      </c>
      <c r="C181" s="840">
        <f t="shared" si="60"/>
        <v>46</v>
      </c>
      <c r="D181" s="818">
        <v>0</v>
      </c>
      <c r="E181" s="808">
        <f>SUM(F181:G181)</f>
        <v>16</v>
      </c>
      <c r="F181" s="906">
        <v>4</v>
      </c>
      <c r="G181" s="906">
        <v>12</v>
      </c>
      <c r="H181" s="906"/>
      <c r="I181" s="906">
        <v>30</v>
      </c>
      <c r="J181" s="906"/>
      <c r="K181" s="906"/>
      <c r="L181" s="906"/>
      <c r="M181" s="906"/>
      <c r="N181" s="906"/>
    </row>
    <row r="182" spans="1:14" ht="15.75" hidden="1">
      <c r="A182" s="508" t="s">
        <v>1</v>
      </c>
      <c r="B182" s="394" t="s">
        <v>133</v>
      </c>
      <c r="C182" s="840">
        <f t="shared" si="60"/>
        <v>0</v>
      </c>
      <c r="D182" s="818"/>
      <c r="E182" s="808">
        <f>SUM(F182:G182)</f>
        <v>0</v>
      </c>
      <c r="F182" s="841"/>
      <c r="G182" s="841"/>
      <c r="H182" s="841"/>
      <c r="I182" s="841"/>
      <c r="J182" s="841"/>
      <c r="K182" s="841"/>
      <c r="L182" s="841"/>
      <c r="M182" s="841"/>
      <c r="N182" s="841"/>
    </row>
    <row r="183" spans="1:14" ht="15" hidden="1">
      <c r="A183" s="508" t="s">
        <v>9</v>
      </c>
      <c r="B183" s="394" t="s">
        <v>134</v>
      </c>
      <c r="C183" s="840">
        <f t="shared" si="60"/>
        <v>0</v>
      </c>
      <c r="D183" s="810"/>
      <c r="E183" s="808">
        <f>SUM(F183:G183)</f>
        <v>0</v>
      </c>
      <c r="F183" s="841"/>
      <c r="G183" s="841"/>
      <c r="H183" s="841"/>
      <c r="I183" s="841"/>
      <c r="J183" s="841"/>
      <c r="K183" s="841"/>
      <c r="L183" s="841"/>
      <c r="M183" s="841"/>
      <c r="N183" s="841"/>
    </row>
    <row r="184" spans="1:14" ht="15" hidden="1">
      <c r="A184" s="508" t="s">
        <v>135</v>
      </c>
      <c r="B184" s="394" t="s">
        <v>136</v>
      </c>
      <c r="C184" s="806">
        <f t="shared" si="60"/>
        <v>80</v>
      </c>
      <c r="D184" s="807">
        <f>D179-SUM(D182,D183)</f>
        <v>5</v>
      </c>
      <c r="E184" s="807">
        <f>E179-SUM(E182,E183)</f>
        <v>45</v>
      </c>
      <c r="F184" s="807">
        <f aca="true" t="shared" si="62" ref="F184:M184">F179-SUM(F182,F183)</f>
        <v>8</v>
      </c>
      <c r="G184" s="807">
        <f t="shared" si="62"/>
        <v>37</v>
      </c>
      <c r="H184" s="807">
        <f t="shared" si="62"/>
        <v>0</v>
      </c>
      <c r="I184" s="807">
        <f t="shared" si="62"/>
        <v>30</v>
      </c>
      <c r="J184" s="807">
        <f t="shared" si="62"/>
        <v>0</v>
      </c>
      <c r="K184" s="807">
        <f t="shared" si="62"/>
        <v>0</v>
      </c>
      <c r="L184" s="807">
        <f t="shared" si="62"/>
        <v>0</v>
      </c>
      <c r="M184" s="807">
        <f t="shared" si="62"/>
        <v>0</v>
      </c>
      <c r="N184" s="807">
        <f>N179-SUM(N182,N183)</f>
        <v>0</v>
      </c>
    </row>
    <row r="185" spans="1:14" ht="15" hidden="1">
      <c r="A185" s="508" t="s">
        <v>51</v>
      </c>
      <c r="B185" s="430" t="s">
        <v>137</v>
      </c>
      <c r="C185" s="806">
        <f>C186+C187+C188+C189+C190+C191+C192</f>
        <v>49</v>
      </c>
      <c r="D185" s="806">
        <f aca="true" t="shared" si="63" ref="D185:N185">D186+D187+D188+D189+D190+D191+D192</f>
        <v>0</v>
      </c>
      <c r="E185" s="806">
        <f>E186+E187+E188+E189+E190+E191+E192</f>
        <v>19</v>
      </c>
      <c r="F185" s="806">
        <f>F186+F187+F188+F189+F190+F191+F192</f>
        <v>4</v>
      </c>
      <c r="G185" s="806">
        <f>G186+G187+G188+G189+G190+G191+G192</f>
        <v>15</v>
      </c>
      <c r="H185" s="806">
        <f t="shared" si="63"/>
        <v>0</v>
      </c>
      <c r="I185" s="806">
        <f t="shared" si="63"/>
        <v>30</v>
      </c>
      <c r="J185" s="806">
        <f t="shared" si="63"/>
        <v>0</v>
      </c>
      <c r="K185" s="806">
        <f t="shared" si="63"/>
        <v>0</v>
      </c>
      <c r="L185" s="806">
        <f t="shared" si="63"/>
        <v>0</v>
      </c>
      <c r="M185" s="806">
        <f t="shared" si="63"/>
        <v>0</v>
      </c>
      <c r="N185" s="806">
        <f t="shared" si="63"/>
        <v>0</v>
      </c>
    </row>
    <row r="186" spans="1:14" ht="15.75" hidden="1">
      <c r="A186" s="507" t="s">
        <v>53</v>
      </c>
      <c r="B186" s="429" t="s">
        <v>138</v>
      </c>
      <c r="C186" s="811">
        <f aca="true" t="shared" si="64" ref="C186:C192">SUM(D186,E186,H186:N186)</f>
        <v>46</v>
      </c>
      <c r="D186" s="818"/>
      <c r="E186" s="808">
        <f aca="true" t="shared" si="65" ref="E186:E192">SUM(F186:G186)</f>
        <v>17</v>
      </c>
      <c r="F186" s="906">
        <v>4</v>
      </c>
      <c r="G186" s="906">
        <v>13</v>
      </c>
      <c r="H186" s="906"/>
      <c r="I186" s="906">
        <v>29</v>
      </c>
      <c r="J186" s="906"/>
      <c r="K186" s="906"/>
      <c r="L186" s="906"/>
      <c r="M186" s="906"/>
      <c r="N186" s="906"/>
    </row>
    <row r="187" spans="1:14" ht="15.75" hidden="1">
      <c r="A187" s="507" t="s">
        <v>54</v>
      </c>
      <c r="B187" s="429" t="s">
        <v>139</v>
      </c>
      <c r="C187" s="811">
        <f t="shared" si="64"/>
        <v>1</v>
      </c>
      <c r="D187" s="818"/>
      <c r="E187" s="808">
        <f t="shared" si="65"/>
        <v>1</v>
      </c>
      <c r="F187" s="906">
        <v>0</v>
      </c>
      <c r="G187" s="906">
        <v>1</v>
      </c>
      <c r="H187" s="906"/>
      <c r="I187" s="906">
        <v>0</v>
      </c>
      <c r="J187" s="906"/>
      <c r="K187" s="906"/>
      <c r="L187" s="906"/>
      <c r="M187" s="906"/>
      <c r="N187" s="906"/>
    </row>
    <row r="188" spans="1:14" ht="15.75" hidden="1">
      <c r="A188" s="507" t="s">
        <v>140</v>
      </c>
      <c r="B188" s="429" t="s">
        <v>141</v>
      </c>
      <c r="C188" s="811">
        <f t="shared" si="64"/>
        <v>2</v>
      </c>
      <c r="D188" s="818">
        <v>0</v>
      </c>
      <c r="E188" s="808">
        <f t="shared" si="65"/>
        <v>1</v>
      </c>
      <c r="F188" s="906">
        <v>0</v>
      </c>
      <c r="G188" s="906">
        <v>1</v>
      </c>
      <c r="H188" s="906"/>
      <c r="I188" s="906">
        <v>1</v>
      </c>
      <c r="J188" s="906"/>
      <c r="K188" s="906"/>
      <c r="L188" s="906"/>
      <c r="M188" s="906"/>
      <c r="N188" s="906"/>
    </row>
    <row r="189" spans="1:14" ht="15.75" hidden="1">
      <c r="A189" s="507" t="s">
        <v>142</v>
      </c>
      <c r="B189" s="429" t="s">
        <v>143</v>
      </c>
      <c r="C189" s="812">
        <f t="shared" si="64"/>
        <v>0</v>
      </c>
      <c r="D189" s="818"/>
      <c r="E189" s="813">
        <f t="shared" si="65"/>
        <v>0</v>
      </c>
      <c r="F189" s="906"/>
      <c r="G189" s="906"/>
      <c r="H189" s="906"/>
      <c r="I189" s="906"/>
      <c r="J189" s="906"/>
      <c r="K189" s="906"/>
      <c r="L189" s="906"/>
      <c r="M189" s="906"/>
      <c r="N189" s="906"/>
    </row>
    <row r="190" spans="1:14" ht="15.75" hidden="1">
      <c r="A190" s="507" t="s">
        <v>144</v>
      </c>
      <c r="B190" s="429" t="s">
        <v>145</v>
      </c>
      <c r="C190" s="811">
        <f t="shared" si="64"/>
        <v>0</v>
      </c>
      <c r="D190" s="818"/>
      <c r="E190" s="808">
        <f t="shared" si="65"/>
        <v>0</v>
      </c>
      <c r="F190" s="910"/>
      <c r="G190" s="910"/>
      <c r="H190" s="906"/>
      <c r="I190" s="906"/>
      <c r="J190" s="906"/>
      <c r="K190" s="906"/>
      <c r="L190" s="906"/>
      <c r="M190" s="906"/>
      <c r="N190" s="906">
        <v>0</v>
      </c>
    </row>
    <row r="191" spans="1:14" ht="25.5" hidden="1">
      <c r="A191" s="507" t="s">
        <v>146</v>
      </c>
      <c r="B191" s="431" t="s">
        <v>147</v>
      </c>
      <c r="C191" s="811">
        <f t="shared" si="64"/>
        <v>0</v>
      </c>
      <c r="D191" s="818"/>
      <c r="E191" s="808">
        <f t="shared" si="65"/>
        <v>0</v>
      </c>
      <c r="F191" s="906"/>
      <c r="G191" s="906"/>
      <c r="H191" s="906"/>
      <c r="I191" s="906"/>
      <c r="J191" s="906"/>
      <c r="K191" s="906"/>
      <c r="L191" s="906"/>
      <c r="M191" s="906"/>
      <c r="N191" s="906"/>
    </row>
    <row r="192" spans="1:14" ht="15.75" hidden="1">
      <c r="A192" s="507" t="s">
        <v>148</v>
      </c>
      <c r="B192" s="429" t="s">
        <v>149</v>
      </c>
      <c r="C192" s="811">
        <f t="shared" si="64"/>
        <v>0</v>
      </c>
      <c r="D192" s="818"/>
      <c r="E192" s="808">
        <f t="shared" si="65"/>
        <v>0</v>
      </c>
      <c r="F192" s="406">
        <f>0+0+0</f>
        <v>0</v>
      </c>
      <c r="G192" s="841"/>
      <c r="H192" s="841">
        <f>0+0+0</f>
        <v>0</v>
      </c>
      <c r="I192" s="841"/>
      <c r="J192" s="841"/>
      <c r="K192" s="841"/>
      <c r="L192" s="841"/>
      <c r="M192" s="841"/>
      <c r="N192" s="841"/>
    </row>
    <row r="193" spans="1:14" ht="15" hidden="1">
      <c r="A193" s="508" t="s">
        <v>52</v>
      </c>
      <c r="B193" s="394" t="s">
        <v>150</v>
      </c>
      <c r="C193" s="806">
        <f>SUM(D193,E193,H193:N193)</f>
        <v>31</v>
      </c>
      <c r="D193" s="806">
        <f>D184-D185</f>
        <v>5</v>
      </c>
      <c r="E193" s="807">
        <f>SUM(F193:G193)</f>
        <v>26</v>
      </c>
      <c r="F193" s="806">
        <f aca="true" t="shared" si="66" ref="F193:N193">F184-F185</f>
        <v>4</v>
      </c>
      <c r="G193" s="806">
        <f t="shared" si="66"/>
        <v>22</v>
      </c>
      <c r="H193" s="806">
        <f t="shared" si="66"/>
        <v>0</v>
      </c>
      <c r="I193" s="806">
        <f t="shared" si="66"/>
        <v>0</v>
      </c>
      <c r="J193" s="806">
        <f t="shared" si="66"/>
        <v>0</v>
      </c>
      <c r="K193" s="806">
        <f t="shared" si="66"/>
        <v>0</v>
      </c>
      <c r="L193" s="806">
        <f t="shared" si="66"/>
        <v>0</v>
      </c>
      <c r="M193" s="806">
        <f t="shared" si="66"/>
        <v>0</v>
      </c>
      <c r="N193" s="806">
        <f t="shared" si="66"/>
        <v>0</v>
      </c>
    </row>
    <row r="194" spans="1:14" ht="25.5" hidden="1">
      <c r="A194" s="508" t="s">
        <v>540</v>
      </c>
      <c r="B194" s="432" t="s">
        <v>151</v>
      </c>
      <c r="C194" s="413">
        <f>(C186+C187)/C185</f>
        <v>0.9591836734693877</v>
      </c>
      <c r="D194" s="413" t="e">
        <f aca="true" t="shared" si="67" ref="D194:N194">(D186+C187)/D185</f>
        <v>#DIV/0!</v>
      </c>
      <c r="E194" s="413">
        <f t="shared" si="67"/>
        <v>0.8947368421052632</v>
      </c>
      <c r="F194" s="413">
        <f t="shared" si="67"/>
        <v>1.25</v>
      </c>
      <c r="G194" s="413">
        <f t="shared" si="67"/>
        <v>0.8666666666666667</v>
      </c>
      <c r="H194" s="413" t="e">
        <f t="shared" si="67"/>
        <v>#DIV/0!</v>
      </c>
      <c r="I194" s="413">
        <f t="shared" si="67"/>
        <v>0.9666666666666667</v>
      </c>
      <c r="J194" s="413" t="e">
        <f t="shared" si="67"/>
        <v>#DIV/0!</v>
      </c>
      <c r="K194" s="413" t="e">
        <f t="shared" si="67"/>
        <v>#DIV/0!</v>
      </c>
      <c r="L194" s="413" t="e">
        <f t="shared" si="67"/>
        <v>#DIV/0!</v>
      </c>
      <c r="M194" s="413" t="e">
        <f t="shared" si="67"/>
        <v>#DIV/0!</v>
      </c>
      <c r="N194" s="413" t="e">
        <f t="shared" si="67"/>
        <v>#DIV/0!</v>
      </c>
    </row>
    <row r="195" ht="15" hidden="1"/>
    <row r="196" ht="15" hidden="1"/>
    <row r="197" ht="15" hidden="1">
      <c r="B197" s="388" t="s">
        <v>743</v>
      </c>
    </row>
    <row r="198" spans="1:14" ht="15" customHeight="1" hidden="1">
      <c r="A198" s="1478" t="s">
        <v>68</v>
      </c>
      <c r="B198" s="1479"/>
      <c r="C198" s="1484" t="s">
        <v>37</v>
      </c>
      <c r="D198" s="1487" t="s">
        <v>335</v>
      </c>
      <c r="E198" s="1488"/>
      <c r="F198" s="1488"/>
      <c r="G198" s="1488"/>
      <c r="H198" s="1488"/>
      <c r="I198" s="1488"/>
      <c r="J198" s="1488"/>
      <c r="K198" s="1488"/>
      <c r="L198" s="1488"/>
      <c r="M198" s="1488"/>
      <c r="N198" s="1489"/>
    </row>
    <row r="199" spans="1:14" ht="15" customHeight="1" hidden="1">
      <c r="A199" s="1480"/>
      <c r="B199" s="1481"/>
      <c r="C199" s="1485"/>
      <c r="D199" s="1490" t="s">
        <v>119</v>
      </c>
      <c r="E199" s="1476" t="s">
        <v>120</v>
      </c>
      <c r="F199" s="1493"/>
      <c r="G199" s="1477"/>
      <c r="H199" s="1473" t="s">
        <v>121</v>
      </c>
      <c r="I199" s="1473" t="s">
        <v>122</v>
      </c>
      <c r="J199" s="1473" t="s">
        <v>123</v>
      </c>
      <c r="K199" s="1473" t="s">
        <v>124</v>
      </c>
      <c r="L199" s="1473" t="s">
        <v>125</v>
      </c>
      <c r="M199" s="1473" t="s">
        <v>126</v>
      </c>
      <c r="N199" s="1473" t="s">
        <v>127</v>
      </c>
    </row>
    <row r="200" spans="1:14" ht="15" hidden="1">
      <c r="A200" s="1480"/>
      <c r="B200" s="1481"/>
      <c r="C200" s="1485"/>
      <c r="D200" s="1491"/>
      <c r="E200" s="1473" t="s">
        <v>36</v>
      </c>
      <c r="F200" s="1476" t="s">
        <v>7</v>
      </c>
      <c r="G200" s="1477"/>
      <c r="H200" s="1474"/>
      <c r="I200" s="1474"/>
      <c r="J200" s="1474"/>
      <c r="K200" s="1474"/>
      <c r="L200" s="1474"/>
      <c r="M200" s="1474"/>
      <c r="N200" s="1474"/>
    </row>
    <row r="201" spans="1:14" ht="15" hidden="1">
      <c r="A201" s="1482"/>
      <c r="B201" s="1483"/>
      <c r="C201" s="1486"/>
      <c r="D201" s="1492"/>
      <c r="E201" s="1475"/>
      <c r="F201" s="559" t="s">
        <v>199</v>
      </c>
      <c r="G201" s="560" t="s">
        <v>200</v>
      </c>
      <c r="H201" s="1475"/>
      <c r="I201" s="1475"/>
      <c r="J201" s="1475"/>
      <c r="K201" s="1475"/>
      <c r="L201" s="1475"/>
      <c r="M201" s="1475"/>
      <c r="N201" s="1475"/>
    </row>
    <row r="202" spans="1:14" ht="15" hidden="1">
      <c r="A202" s="1471" t="s">
        <v>39</v>
      </c>
      <c r="B202" s="1472"/>
      <c r="C202" s="505">
        <v>1</v>
      </c>
      <c r="D202" s="505">
        <v>2</v>
      </c>
      <c r="E202" s="505">
        <v>3</v>
      </c>
      <c r="F202" s="505">
        <v>4</v>
      </c>
      <c r="G202" s="505">
        <v>5</v>
      </c>
      <c r="H202" s="505">
        <v>6</v>
      </c>
      <c r="I202" s="505">
        <v>7</v>
      </c>
      <c r="J202" s="505">
        <v>8</v>
      </c>
      <c r="K202" s="505">
        <v>9</v>
      </c>
      <c r="L202" s="505">
        <v>10</v>
      </c>
      <c r="M202" s="505">
        <v>11</v>
      </c>
      <c r="N202" s="505">
        <v>12</v>
      </c>
    </row>
    <row r="203" spans="1:14" ht="15" hidden="1">
      <c r="A203" s="506" t="s">
        <v>0</v>
      </c>
      <c r="B203" s="427" t="s">
        <v>130</v>
      </c>
      <c r="C203" s="806">
        <f aca="true" t="shared" si="68" ref="C203:C208">SUM(D203,E203,H203:N203)</f>
        <v>29</v>
      </c>
      <c r="D203" s="807">
        <f aca="true" t="shared" si="69" ref="D203:N203">SUM(D204:D205)</f>
        <v>12</v>
      </c>
      <c r="E203" s="807">
        <f t="shared" si="69"/>
        <v>11</v>
      </c>
      <c r="F203" s="807">
        <f t="shared" si="69"/>
        <v>0</v>
      </c>
      <c r="G203" s="807">
        <f t="shared" si="69"/>
        <v>11</v>
      </c>
      <c r="H203" s="807">
        <f t="shared" si="69"/>
        <v>0</v>
      </c>
      <c r="I203" s="807">
        <f t="shared" si="69"/>
        <v>6</v>
      </c>
      <c r="J203" s="807">
        <f t="shared" si="69"/>
        <v>0</v>
      </c>
      <c r="K203" s="807">
        <f t="shared" si="69"/>
        <v>0</v>
      </c>
      <c r="L203" s="807">
        <f t="shared" si="69"/>
        <v>0</v>
      </c>
      <c r="M203" s="807">
        <f t="shared" si="69"/>
        <v>0</v>
      </c>
      <c r="N203" s="807">
        <f t="shared" si="69"/>
        <v>0</v>
      </c>
    </row>
    <row r="204" spans="1:14" ht="15.75" hidden="1">
      <c r="A204" s="507">
        <v>1</v>
      </c>
      <c r="B204" s="429" t="s">
        <v>131</v>
      </c>
      <c r="C204" s="840">
        <f t="shared" si="68"/>
        <v>7</v>
      </c>
      <c r="D204" s="918">
        <v>1</v>
      </c>
      <c r="E204" s="808">
        <f>SUM(F204:G204)</f>
        <v>6</v>
      </c>
      <c r="F204" s="918">
        <v>0</v>
      </c>
      <c r="G204" s="918">
        <v>6</v>
      </c>
      <c r="H204" s="918">
        <v>0</v>
      </c>
      <c r="I204" s="918">
        <v>0</v>
      </c>
      <c r="J204" s="918">
        <v>0</v>
      </c>
      <c r="K204" s="918">
        <v>0</v>
      </c>
      <c r="L204" s="918"/>
      <c r="M204" s="918"/>
      <c r="N204" s="918"/>
    </row>
    <row r="205" spans="1:14" ht="15.75" hidden="1">
      <c r="A205" s="507">
        <v>2</v>
      </c>
      <c r="B205" s="429" t="s">
        <v>132</v>
      </c>
      <c r="C205" s="840">
        <f t="shared" si="68"/>
        <v>22</v>
      </c>
      <c r="D205" s="919">
        <v>11</v>
      </c>
      <c r="E205" s="808">
        <f>SUM(F205:G205)</f>
        <v>5</v>
      </c>
      <c r="F205" s="920"/>
      <c r="G205" s="920">
        <v>5</v>
      </c>
      <c r="H205" s="920"/>
      <c r="I205" s="920">
        <v>6</v>
      </c>
      <c r="J205" s="920">
        <v>0</v>
      </c>
      <c r="K205" s="920">
        <v>0</v>
      </c>
      <c r="L205" s="920"/>
      <c r="M205" s="920"/>
      <c r="N205" s="920"/>
    </row>
    <row r="206" spans="1:14" ht="15.75" hidden="1">
      <c r="A206" s="508" t="s">
        <v>1</v>
      </c>
      <c r="B206" s="394" t="s">
        <v>133</v>
      </c>
      <c r="C206" s="840">
        <f t="shared" si="68"/>
        <v>0</v>
      </c>
      <c r="D206" s="919">
        <v>0</v>
      </c>
      <c r="E206" s="808">
        <f>SUM(F206:G206)</f>
        <v>0</v>
      </c>
      <c r="F206" s="920">
        <v>0</v>
      </c>
      <c r="G206" s="920">
        <v>0</v>
      </c>
      <c r="H206" s="920">
        <v>0</v>
      </c>
      <c r="I206" s="920"/>
      <c r="J206" s="920">
        <v>0</v>
      </c>
      <c r="K206" s="920">
        <v>0</v>
      </c>
      <c r="L206" s="920">
        <v>0</v>
      </c>
      <c r="M206" s="920">
        <v>0</v>
      </c>
      <c r="N206" s="920">
        <v>0</v>
      </c>
    </row>
    <row r="207" spans="1:14" ht="15" hidden="1">
      <c r="A207" s="508" t="s">
        <v>9</v>
      </c>
      <c r="B207" s="394" t="s">
        <v>134</v>
      </c>
      <c r="C207" s="840">
        <f t="shared" si="68"/>
        <v>0</v>
      </c>
      <c r="D207" s="810"/>
      <c r="E207" s="808">
        <f>SUM(F207:G207)</f>
        <v>0</v>
      </c>
      <c r="F207" s="841"/>
      <c r="G207" s="841"/>
      <c r="H207" s="841"/>
      <c r="I207" s="841"/>
      <c r="J207" s="841"/>
      <c r="K207" s="841"/>
      <c r="L207" s="841"/>
      <c r="M207" s="841"/>
      <c r="N207" s="841"/>
    </row>
    <row r="208" spans="1:14" ht="15" hidden="1">
      <c r="A208" s="508" t="s">
        <v>135</v>
      </c>
      <c r="B208" s="394" t="s">
        <v>136</v>
      </c>
      <c r="C208" s="806">
        <f t="shared" si="68"/>
        <v>29</v>
      </c>
      <c r="D208" s="807">
        <f>D203-SUM(D206,D207)</f>
        <v>12</v>
      </c>
      <c r="E208" s="807">
        <f>E203-SUM(E206,E207)</f>
        <v>11</v>
      </c>
      <c r="F208" s="807">
        <f aca="true" t="shared" si="70" ref="F208:M208">F203-SUM(F206,F207)</f>
        <v>0</v>
      </c>
      <c r="G208" s="807">
        <f t="shared" si="70"/>
        <v>11</v>
      </c>
      <c r="H208" s="807">
        <f t="shared" si="70"/>
        <v>0</v>
      </c>
      <c r="I208" s="807">
        <f t="shared" si="70"/>
        <v>6</v>
      </c>
      <c r="J208" s="807">
        <f t="shared" si="70"/>
        <v>0</v>
      </c>
      <c r="K208" s="807">
        <f t="shared" si="70"/>
        <v>0</v>
      </c>
      <c r="L208" s="807">
        <f t="shared" si="70"/>
        <v>0</v>
      </c>
      <c r="M208" s="807">
        <f t="shared" si="70"/>
        <v>0</v>
      </c>
      <c r="N208" s="807">
        <f>N203-SUM(N206,N207)</f>
        <v>0</v>
      </c>
    </row>
    <row r="209" spans="1:14" ht="15" hidden="1">
      <c r="A209" s="508" t="s">
        <v>51</v>
      </c>
      <c r="B209" s="430" t="s">
        <v>137</v>
      </c>
      <c r="C209" s="806">
        <f>C210+C211+C212+C213+C214+C215+C216</f>
        <v>22</v>
      </c>
      <c r="D209" s="806">
        <f>D210+D211+D212+D213+D214+D215+D216</f>
        <v>11</v>
      </c>
      <c r="E209" s="806">
        <f>F209+G209</f>
        <v>5</v>
      </c>
      <c r="F209" s="806">
        <f aca="true" t="shared" si="71" ref="F209:M209">F210+F211+F212+F213+F214+F215+F216</f>
        <v>0</v>
      </c>
      <c r="G209" s="806">
        <f t="shared" si="71"/>
        <v>5</v>
      </c>
      <c r="H209" s="806">
        <f t="shared" si="71"/>
        <v>0</v>
      </c>
      <c r="I209" s="806">
        <f t="shared" si="71"/>
        <v>6</v>
      </c>
      <c r="J209" s="806">
        <f t="shared" si="71"/>
        <v>0</v>
      </c>
      <c r="K209" s="806">
        <f t="shared" si="71"/>
        <v>0</v>
      </c>
      <c r="L209" s="806">
        <f t="shared" si="71"/>
        <v>0</v>
      </c>
      <c r="M209" s="806">
        <f t="shared" si="71"/>
        <v>0</v>
      </c>
      <c r="N209" s="806">
        <f>N210+N211+N212+N213+N214+N215+N216</f>
        <v>0</v>
      </c>
    </row>
    <row r="210" spans="1:14" ht="15.75" hidden="1">
      <c r="A210" s="507" t="s">
        <v>53</v>
      </c>
      <c r="B210" s="429" t="s">
        <v>138</v>
      </c>
      <c r="C210" s="811">
        <f aca="true" t="shared" si="72" ref="C210:C216">SUM(D210,E210,H210:N210)</f>
        <v>19</v>
      </c>
      <c r="D210" s="922">
        <v>9</v>
      </c>
      <c r="E210" s="808">
        <f aca="true" t="shared" si="73" ref="E210:E216">SUM(F210:G210)</f>
        <v>4</v>
      </c>
      <c r="F210" s="1041"/>
      <c r="G210" s="1041">
        <v>4</v>
      </c>
      <c r="H210" s="1041">
        <v>0</v>
      </c>
      <c r="I210" s="1041">
        <v>6</v>
      </c>
      <c r="J210" s="1041">
        <v>0</v>
      </c>
      <c r="K210" s="1041">
        <v>0</v>
      </c>
      <c r="L210" s="1041">
        <v>0</v>
      </c>
      <c r="M210" s="1041">
        <v>0</v>
      </c>
      <c r="N210" s="1042">
        <v>0</v>
      </c>
    </row>
    <row r="211" spans="1:14" ht="15.75" hidden="1">
      <c r="A211" s="507" t="s">
        <v>54</v>
      </c>
      <c r="B211" s="429" t="s">
        <v>139</v>
      </c>
      <c r="C211" s="811">
        <f t="shared" si="72"/>
        <v>0</v>
      </c>
      <c r="D211" s="922">
        <v>0</v>
      </c>
      <c r="E211" s="808">
        <f t="shared" si="73"/>
        <v>0</v>
      </c>
      <c r="F211" s="1041">
        <v>0</v>
      </c>
      <c r="G211" s="1041">
        <v>0</v>
      </c>
      <c r="H211" s="1041">
        <v>0</v>
      </c>
      <c r="I211" s="1041">
        <v>0</v>
      </c>
      <c r="J211" s="1041">
        <v>0</v>
      </c>
      <c r="K211" s="1041">
        <v>0</v>
      </c>
      <c r="L211" s="1041">
        <v>0</v>
      </c>
      <c r="M211" s="841"/>
      <c r="N211" s="841"/>
    </row>
    <row r="212" spans="1:14" ht="15.75" hidden="1">
      <c r="A212" s="507" t="s">
        <v>140</v>
      </c>
      <c r="B212" s="429" t="s">
        <v>141</v>
      </c>
      <c r="C212" s="811">
        <f t="shared" si="72"/>
        <v>3</v>
      </c>
      <c r="D212" s="919">
        <v>2</v>
      </c>
      <c r="E212" s="808">
        <f t="shared" si="73"/>
        <v>1</v>
      </c>
      <c r="F212" s="1042">
        <v>0</v>
      </c>
      <c r="G212" s="1042">
        <v>1</v>
      </c>
      <c r="H212" s="1041"/>
      <c r="I212" s="1041">
        <v>0</v>
      </c>
      <c r="J212" s="1041">
        <v>0</v>
      </c>
      <c r="K212" s="1041">
        <v>0</v>
      </c>
      <c r="L212" s="1041">
        <v>0</v>
      </c>
      <c r="M212" s="841"/>
      <c r="N212" s="841"/>
    </row>
    <row r="213" spans="1:14" ht="15.75" hidden="1">
      <c r="A213" s="507" t="s">
        <v>142</v>
      </c>
      <c r="B213" s="429" t="s">
        <v>143</v>
      </c>
      <c r="C213" s="812">
        <f t="shared" si="72"/>
        <v>0</v>
      </c>
      <c r="D213" s="922">
        <v>0</v>
      </c>
      <c r="E213" s="813">
        <f t="shared" si="73"/>
        <v>0</v>
      </c>
      <c r="F213" s="1041">
        <v>0</v>
      </c>
      <c r="G213" s="1041">
        <v>0</v>
      </c>
      <c r="H213" s="1041">
        <v>0</v>
      </c>
      <c r="I213" s="1041">
        <v>0</v>
      </c>
      <c r="J213" s="1041">
        <v>0</v>
      </c>
      <c r="K213" s="1041">
        <v>0</v>
      </c>
      <c r="L213" s="1041">
        <v>0</v>
      </c>
      <c r="M213" s="841"/>
      <c r="N213" s="841"/>
    </row>
    <row r="214" spans="1:14" ht="15.75" hidden="1">
      <c r="A214" s="507" t="s">
        <v>144</v>
      </c>
      <c r="B214" s="429" t="s">
        <v>145</v>
      </c>
      <c r="C214" s="811">
        <f t="shared" si="72"/>
        <v>0</v>
      </c>
      <c r="D214" s="922">
        <v>0</v>
      </c>
      <c r="E214" s="808">
        <f t="shared" si="73"/>
        <v>0</v>
      </c>
      <c r="F214" s="406"/>
      <c r="G214" s="841"/>
      <c r="H214" s="841"/>
      <c r="I214" s="841"/>
      <c r="J214" s="841"/>
      <c r="K214" s="841"/>
      <c r="L214" s="841"/>
      <c r="M214" s="841"/>
      <c r="N214" s="841"/>
    </row>
    <row r="215" spans="1:14" ht="25.5" hidden="1">
      <c r="A215" s="507" t="s">
        <v>146</v>
      </c>
      <c r="B215" s="431" t="s">
        <v>147</v>
      </c>
      <c r="C215" s="811">
        <f t="shared" si="72"/>
        <v>0</v>
      </c>
      <c r="D215" s="919">
        <v>0</v>
      </c>
      <c r="E215" s="808">
        <f t="shared" si="73"/>
        <v>0</v>
      </c>
      <c r="F215" s="406"/>
      <c r="G215" s="841"/>
      <c r="H215" s="841"/>
      <c r="I215" s="841"/>
      <c r="J215" s="841"/>
      <c r="K215" s="841"/>
      <c r="L215" s="841"/>
      <c r="M215" s="841"/>
      <c r="N215" s="841"/>
    </row>
    <row r="216" spans="1:14" ht="15.75" hidden="1">
      <c r="A216" s="507" t="s">
        <v>148</v>
      </c>
      <c r="B216" s="429" t="s">
        <v>149</v>
      </c>
      <c r="C216" s="811">
        <f t="shared" si="72"/>
        <v>0</v>
      </c>
      <c r="D216" s="919">
        <v>0</v>
      </c>
      <c r="E216" s="808">
        <f t="shared" si="73"/>
        <v>0</v>
      </c>
      <c r="F216" s="406">
        <f>0+0+0</f>
        <v>0</v>
      </c>
      <c r="G216" s="841"/>
      <c r="H216" s="841">
        <f>0+0+0</f>
        <v>0</v>
      </c>
      <c r="I216" s="841"/>
      <c r="J216" s="841"/>
      <c r="K216" s="841"/>
      <c r="L216" s="841"/>
      <c r="M216" s="841"/>
      <c r="N216" s="841"/>
    </row>
    <row r="217" spans="1:14" ht="15" hidden="1">
      <c r="A217" s="508" t="s">
        <v>52</v>
      </c>
      <c r="B217" s="394" t="s">
        <v>150</v>
      </c>
      <c r="C217" s="806">
        <f>SUM(D217,E217,H217:N217)</f>
        <v>7</v>
      </c>
      <c r="D217" s="806">
        <f>D208-D209</f>
        <v>1</v>
      </c>
      <c r="E217" s="807">
        <f>SUM(F217:G217)</f>
        <v>6</v>
      </c>
      <c r="F217" s="806">
        <f aca="true" t="shared" si="74" ref="F217:N217">F208-F209</f>
        <v>0</v>
      </c>
      <c r="G217" s="806">
        <f t="shared" si="74"/>
        <v>6</v>
      </c>
      <c r="H217" s="806">
        <f t="shared" si="74"/>
        <v>0</v>
      </c>
      <c r="I217" s="806">
        <f t="shared" si="74"/>
        <v>0</v>
      </c>
      <c r="J217" s="806">
        <f t="shared" si="74"/>
        <v>0</v>
      </c>
      <c r="K217" s="806">
        <f t="shared" si="74"/>
        <v>0</v>
      </c>
      <c r="L217" s="806">
        <f t="shared" si="74"/>
        <v>0</v>
      </c>
      <c r="M217" s="806">
        <f t="shared" si="74"/>
        <v>0</v>
      </c>
      <c r="N217" s="806">
        <f t="shared" si="74"/>
        <v>0</v>
      </c>
    </row>
    <row r="218" spans="1:14" ht="25.5" hidden="1">
      <c r="A218" s="508" t="s">
        <v>540</v>
      </c>
      <c r="B218" s="432" t="s">
        <v>151</v>
      </c>
      <c r="C218" s="413">
        <f>(C210+C211)/C209</f>
        <v>0.8636363636363636</v>
      </c>
      <c r="D218" s="413">
        <f aca="true" t="shared" si="75" ref="D218:N218">(D210+C211)/D209</f>
        <v>0.8181818181818182</v>
      </c>
      <c r="E218" s="413">
        <f t="shared" si="75"/>
        <v>0.8</v>
      </c>
      <c r="F218" s="413" t="e">
        <f t="shared" si="75"/>
        <v>#DIV/0!</v>
      </c>
      <c r="G218" s="413">
        <f t="shared" si="75"/>
        <v>0.8</v>
      </c>
      <c r="H218" s="413" t="e">
        <f t="shared" si="75"/>
        <v>#DIV/0!</v>
      </c>
      <c r="I218" s="413">
        <f t="shared" si="75"/>
        <v>1</v>
      </c>
      <c r="J218" s="413" t="e">
        <f t="shared" si="75"/>
        <v>#DIV/0!</v>
      </c>
      <c r="K218" s="413" t="e">
        <f t="shared" si="75"/>
        <v>#DIV/0!</v>
      </c>
      <c r="L218" s="413" t="e">
        <f t="shared" si="75"/>
        <v>#DIV/0!</v>
      </c>
      <c r="M218" s="413" t="e">
        <f t="shared" si="75"/>
        <v>#DIV/0!</v>
      </c>
      <c r="N218" s="413" t="e">
        <f t="shared" si="75"/>
        <v>#DIV/0!</v>
      </c>
    </row>
  </sheetData>
  <sheetProtection/>
  <mergeCells count="145">
    <mergeCell ref="A1:B1"/>
    <mergeCell ref="D1:K1"/>
    <mergeCell ref="L1:N1"/>
    <mergeCell ref="D2:K2"/>
    <mergeCell ref="L2:N2"/>
    <mergeCell ref="O8:P8"/>
    <mergeCell ref="J7:J9"/>
    <mergeCell ref="K7:K9"/>
    <mergeCell ref="F8:G8"/>
    <mergeCell ref="H7:H9"/>
    <mergeCell ref="E7:G7"/>
    <mergeCell ref="A10:B10"/>
    <mergeCell ref="M7:M9"/>
    <mergeCell ref="N7:N9"/>
    <mergeCell ref="E8:E9"/>
    <mergeCell ref="L7:L9"/>
    <mergeCell ref="A6:B9"/>
    <mergeCell ref="C6:C9"/>
    <mergeCell ref="F37:G37"/>
    <mergeCell ref="H36:H38"/>
    <mergeCell ref="I36:I38"/>
    <mergeCell ref="L3:N3"/>
    <mergeCell ref="L4:N4"/>
    <mergeCell ref="L5:N5"/>
    <mergeCell ref="I7:I9"/>
    <mergeCell ref="D3:K3"/>
    <mergeCell ref="D6:N6"/>
    <mergeCell ref="D7:D9"/>
    <mergeCell ref="N59:N61"/>
    <mergeCell ref="L59:L61"/>
    <mergeCell ref="M59:M61"/>
    <mergeCell ref="A35:B38"/>
    <mergeCell ref="C35:C38"/>
    <mergeCell ref="D35:N35"/>
    <mergeCell ref="D36:D38"/>
    <mergeCell ref="E36:G36"/>
    <mergeCell ref="N36:N38"/>
    <mergeCell ref="E37:E38"/>
    <mergeCell ref="J36:J38"/>
    <mergeCell ref="K36:K38"/>
    <mergeCell ref="L36:L38"/>
    <mergeCell ref="M36:M38"/>
    <mergeCell ref="A39:B39"/>
    <mergeCell ref="A58:B61"/>
    <mergeCell ref="C58:C61"/>
    <mergeCell ref="D58:N58"/>
    <mergeCell ref="D59:D61"/>
    <mergeCell ref="E59:G59"/>
    <mergeCell ref="A62:B62"/>
    <mergeCell ref="A81:B84"/>
    <mergeCell ref="C81:C84"/>
    <mergeCell ref="D81:N81"/>
    <mergeCell ref="D82:D84"/>
    <mergeCell ref="E82:G82"/>
    <mergeCell ref="H82:H84"/>
    <mergeCell ref="I82:I84"/>
    <mergeCell ref="N82:N84"/>
    <mergeCell ref="E83:E84"/>
    <mergeCell ref="J59:J61"/>
    <mergeCell ref="K59:K61"/>
    <mergeCell ref="J82:J84"/>
    <mergeCell ref="K82:K84"/>
    <mergeCell ref="F83:G83"/>
    <mergeCell ref="E60:E61"/>
    <mergeCell ref="F60:G60"/>
    <mergeCell ref="I59:I61"/>
    <mergeCell ref="H59:H61"/>
    <mergeCell ref="L82:L84"/>
    <mergeCell ref="M82:M84"/>
    <mergeCell ref="D104:N104"/>
    <mergeCell ref="D105:D107"/>
    <mergeCell ref="E105:G105"/>
    <mergeCell ref="H105:H107"/>
    <mergeCell ref="I105:I107"/>
    <mergeCell ref="J105:J107"/>
    <mergeCell ref="K105:K107"/>
    <mergeCell ref="N105:N107"/>
    <mergeCell ref="E106:E107"/>
    <mergeCell ref="F106:G106"/>
    <mergeCell ref="A108:B108"/>
    <mergeCell ref="A85:B85"/>
    <mergeCell ref="A104:B107"/>
    <mergeCell ref="C104:C107"/>
    <mergeCell ref="I128:I130"/>
    <mergeCell ref="J128:J130"/>
    <mergeCell ref="K128:K130"/>
    <mergeCell ref="L128:L130"/>
    <mergeCell ref="L105:L107"/>
    <mergeCell ref="M105:M107"/>
    <mergeCell ref="M128:M130"/>
    <mergeCell ref="M151:M153"/>
    <mergeCell ref="L151:L153"/>
    <mergeCell ref="N151:N153"/>
    <mergeCell ref="E152:E153"/>
    <mergeCell ref="A127:B130"/>
    <mergeCell ref="C127:C130"/>
    <mergeCell ref="D127:N127"/>
    <mergeCell ref="D128:D130"/>
    <mergeCell ref="E128:G128"/>
    <mergeCell ref="H128:H130"/>
    <mergeCell ref="N128:N130"/>
    <mergeCell ref="E129:E130"/>
    <mergeCell ref="F129:G129"/>
    <mergeCell ref="A131:B131"/>
    <mergeCell ref="A150:B153"/>
    <mergeCell ref="C150:C153"/>
    <mergeCell ref="D150:N150"/>
    <mergeCell ref="D151:D153"/>
    <mergeCell ref="E151:G151"/>
    <mergeCell ref="K151:K153"/>
    <mergeCell ref="A154:B154"/>
    <mergeCell ref="A174:B177"/>
    <mergeCell ref="C174:C177"/>
    <mergeCell ref="D174:N174"/>
    <mergeCell ref="D175:D177"/>
    <mergeCell ref="E175:G175"/>
    <mergeCell ref="M175:M177"/>
    <mergeCell ref="N175:N177"/>
    <mergeCell ref="L175:L177"/>
    <mergeCell ref="E176:E177"/>
    <mergeCell ref="I175:I177"/>
    <mergeCell ref="J175:J177"/>
    <mergeCell ref="K175:K177"/>
    <mergeCell ref="F152:G152"/>
    <mergeCell ref="H151:H153"/>
    <mergeCell ref="I151:I153"/>
    <mergeCell ref="J151:J153"/>
    <mergeCell ref="F176:G176"/>
    <mergeCell ref="H175:H177"/>
    <mergeCell ref="A178:B178"/>
    <mergeCell ref="A198:B201"/>
    <mergeCell ref="C198:C201"/>
    <mergeCell ref="D198:N198"/>
    <mergeCell ref="D199:D201"/>
    <mergeCell ref="E199:G199"/>
    <mergeCell ref="H199:H201"/>
    <mergeCell ref="I199:I201"/>
    <mergeCell ref="A202:B202"/>
    <mergeCell ref="J199:J201"/>
    <mergeCell ref="K199:K201"/>
    <mergeCell ref="L199:L201"/>
    <mergeCell ref="M199:M201"/>
    <mergeCell ref="N199:N201"/>
    <mergeCell ref="E200:E201"/>
    <mergeCell ref="F200:G200"/>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80" zoomScaleNormal="80" zoomScaleSheetLayoutView="100" zoomScalePageLayoutView="0" workbookViewId="0" topLeftCell="A16">
      <selection activeCell="C35" sqref="C35"/>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513" t="s">
        <v>181</v>
      </c>
      <c r="B1" s="1514"/>
      <c r="C1" s="1514"/>
    </row>
    <row r="2" spans="1:3" ht="21.75" customHeight="1">
      <c r="A2" s="1515" t="s">
        <v>69</v>
      </c>
      <c r="B2" s="1515"/>
      <c r="C2" s="503" t="s">
        <v>339</v>
      </c>
    </row>
    <row r="3" spans="1:3" ht="21.75" customHeight="1">
      <c r="A3" s="1512" t="s">
        <v>6</v>
      </c>
      <c r="B3" s="1512"/>
      <c r="C3" s="5">
        <v>1</v>
      </c>
    </row>
    <row r="4" spans="1:3" ht="17.25" customHeight="1">
      <c r="A4" s="395" t="s">
        <v>51</v>
      </c>
      <c r="B4" s="519" t="s">
        <v>551</v>
      </c>
      <c r="C4" s="504">
        <f>C5+C6+C7+C8+C9+C10+C11</f>
        <v>17</v>
      </c>
    </row>
    <row r="5" spans="1:3" s="6" customFormat="1" ht="17.25" customHeight="1">
      <c r="A5" s="5" t="s">
        <v>53</v>
      </c>
      <c r="B5" s="520" t="s">
        <v>152</v>
      </c>
      <c r="C5" s="39"/>
    </row>
    <row r="6" spans="1:3" s="6" customFormat="1" ht="17.25" customHeight="1">
      <c r="A6" s="5" t="s">
        <v>54</v>
      </c>
      <c r="B6" s="520" t="s">
        <v>153</v>
      </c>
      <c r="C6" s="39"/>
    </row>
    <row r="7" spans="1:3" s="6" customFormat="1" ht="17.25" customHeight="1">
      <c r="A7" s="5" t="s">
        <v>140</v>
      </c>
      <c r="B7" s="520" t="s">
        <v>154</v>
      </c>
      <c r="C7" s="39">
        <f>7+8+2</f>
        <v>17</v>
      </c>
    </row>
    <row r="8" spans="1:3" s="6" customFormat="1" ht="17.25" customHeight="1">
      <c r="A8" s="5" t="s">
        <v>142</v>
      </c>
      <c r="B8" s="520" t="s">
        <v>155</v>
      </c>
      <c r="C8" s="39"/>
    </row>
    <row r="9" spans="1:3" s="6" customFormat="1" ht="17.25" customHeight="1">
      <c r="A9" s="5" t="s">
        <v>144</v>
      </c>
      <c r="B9" s="520" t="s">
        <v>156</v>
      </c>
      <c r="C9" s="39"/>
    </row>
    <row r="10" spans="1:3" s="6" customFormat="1" ht="17.25" customHeight="1">
      <c r="A10" s="5" t="s">
        <v>146</v>
      </c>
      <c r="B10" s="520" t="s">
        <v>157</v>
      </c>
      <c r="C10" s="39"/>
    </row>
    <row r="11" spans="1:3" s="6" customFormat="1" ht="17.25" customHeight="1">
      <c r="A11" s="5" t="s">
        <v>148</v>
      </c>
      <c r="B11" s="520" t="s">
        <v>159</v>
      </c>
      <c r="C11" s="39"/>
    </row>
    <row r="12" spans="1:3" s="32" customFormat="1" ht="17.25" customHeight="1">
      <c r="A12" s="395" t="s">
        <v>52</v>
      </c>
      <c r="B12" s="519" t="s">
        <v>550</v>
      </c>
      <c r="C12" s="504">
        <f>C13+C14</f>
        <v>5</v>
      </c>
    </row>
    <row r="13" spans="1:3" s="6" customFormat="1" ht="17.25" customHeight="1">
      <c r="A13" s="5" t="s">
        <v>55</v>
      </c>
      <c r="B13" s="520" t="s">
        <v>158</v>
      </c>
      <c r="C13" s="39">
        <f>5</f>
        <v>5</v>
      </c>
    </row>
    <row r="14" spans="1:3" ht="17.25" customHeight="1">
      <c r="A14" s="5" t="s">
        <v>56</v>
      </c>
      <c r="B14" s="520" t="s">
        <v>159</v>
      </c>
      <c r="C14" s="39"/>
    </row>
    <row r="15" spans="1:3" ht="17.25" customHeight="1">
      <c r="A15" s="395" t="s">
        <v>57</v>
      </c>
      <c r="B15" s="519" t="s">
        <v>149</v>
      </c>
      <c r="C15" s="504">
        <f>C16+C17+C18</f>
        <v>9</v>
      </c>
    </row>
    <row r="16" spans="1:3" ht="17.25" customHeight="1">
      <c r="A16" s="5" t="s">
        <v>160</v>
      </c>
      <c r="B16" s="518" t="s">
        <v>161</v>
      </c>
      <c r="C16" s="39">
        <f>4+4+1</f>
        <v>9</v>
      </c>
    </row>
    <row r="17" spans="1:3" s="6" customFormat="1" ht="30">
      <c r="A17" s="5" t="s">
        <v>162</v>
      </c>
      <c r="B17" s="520" t="s">
        <v>163</v>
      </c>
      <c r="C17" s="39"/>
    </row>
    <row r="18" spans="1:3" s="6" customFormat="1" ht="17.25" customHeight="1">
      <c r="A18" s="5" t="s">
        <v>164</v>
      </c>
      <c r="B18" s="520" t="s">
        <v>165</v>
      </c>
      <c r="C18" s="39"/>
    </row>
    <row r="19" spans="1:3" s="6" customFormat="1" ht="17.25" customHeight="1">
      <c r="A19" s="395" t="s">
        <v>72</v>
      </c>
      <c r="B19" s="519" t="s">
        <v>549</v>
      </c>
      <c r="C19" s="504">
        <f>C20+C21+C22+C23+C24+C25</f>
        <v>11</v>
      </c>
    </row>
    <row r="20" spans="1:3" s="6" customFormat="1" ht="17.25" customHeight="1">
      <c r="A20" s="5" t="s">
        <v>166</v>
      </c>
      <c r="B20" s="520" t="s">
        <v>167</v>
      </c>
      <c r="C20" s="39">
        <v>5</v>
      </c>
    </row>
    <row r="21" spans="1:3" s="6" customFormat="1" ht="17.25" customHeight="1">
      <c r="A21" s="5" t="s">
        <v>168</v>
      </c>
      <c r="B21" s="520" t="s">
        <v>169</v>
      </c>
      <c r="C21" s="39"/>
    </row>
    <row r="22" spans="1:3" s="6" customFormat="1" ht="17.25" customHeight="1">
      <c r="A22" s="5" t="s">
        <v>170</v>
      </c>
      <c r="B22" s="520" t="s">
        <v>171</v>
      </c>
      <c r="C22" s="39"/>
    </row>
    <row r="23" spans="1:3" s="6" customFormat="1" ht="17.25" customHeight="1">
      <c r="A23" s="5" t="s">
        <v>172</v>
      </c>
      <c r="B23" s="520" t="s">
        <v>155</v>
      </c>
      <c r="C23" s="39"/>
    </row>
    <row r="24" spans="1:3" s="6" customFormat="1" ht="17.25" customHeight="1">
      <c r="A24" s="5" t="s">
        <v>173</v>
      </c>
      <c r="B24" s="520" t="s">
        <v>156</v>
      </c>
      <c r="C24" s="39">
        <v>6</v>
      </c>
    </row>
    <row r="25" spans="1:3" s="6" customFormat="1" ht="17.25" customHeight="1">
      <c r="A25" s="5" t="s">
        <v>174</v>
      </c>
      <c r="B25" s="520" t="s">
        <v>175</v>
      </c>
      <c r="C25" s="39"/>
    </row>
    <row r="26" spans="1:3" s="6" customFormat="1" ht="17.25" customHeight="1">
      <c r="A26" s="395" t="s">
        <v>73</v>
      </c>
      <c r="B26" s="519" t="s">
        <v>548</v>
      </c>
      <c r="C26" s="504">
        <f>C27+C28+C29</f>
        <v>887</v>
      </c>
    </row>
    <row r="27" spans="1:3" s="6" customFormat="1" ht="17.25" customHeight="1">
      <c r="A27" s="5" t="s">
        <v>176</v>
      </c>
      <c r="B27" s="520" t="s">
        <v>167</v>
      </c>
      <c r="C27" s="39">
        <v>887</v>
      </c>
    </row>
    <row r="28" spans="1:3" ht="17.25" customHeight="1">
      <c r="A28" s="5" t="s">
        <v>177</v>
      </c>
      <c r="B28" s="520" t="s">
        <v>169</v>
      </c>
      <c r="C28" s="39"/>
    </row>
    <row r="29" spans="1:3" s="6" customFormat="1" ht="17.25" customHeight="1">
      <c r="A29" s="5" t="s">
        <v>178</v>
      </c>
      <c r="B29" s="520" t="s">
        <v>179</v>
      </c>
      <c r="C29" s="39"/>
    </row>
    <row r="30" spans="1:3" ht="30.75" customHeight="1">
      <c r="A30" s="35"/>
      <c r="B30" s="1511" t="str">
        <f>'Thong tin'!B8</f>
        <v>Tuyên Quang, ngày 05 tháng 04 năm 2017</v>
      </c>
      <c r="C30" s="1511"/>
    </row>
    <row r="31" spans="1:3" ht="22.5" customHeight="1">
      <c r="A31" s="35"/>
      <c r="B31" s="405" t="s">
        <v>4</v>
      </c>
      <c r="C31" s="515" t="str">
        <f>'Thong tin'!B7</f>
        <v>CỤC TRƯỞNG</v>
      </c>
    </row>
    <row r="32" spans="2:3" s="36" customFormat="1" ht="18.75">
      <c r="B32" s="510"/>
      <c r="C32" s="403"/>
    </row>
    <row r="33" spans="2:3" ht="15.75" customHeight="1">
      <c r="B33" s="436"/>
      <c r="C33" s="1153"/>
    </row>
    <row r="34" spans="2:3" ht="15.75" customHeight="1">
      <c r="B34" s="436"/>
      <c r="C34" s="403"/>
    </row>
    <row r="35" spans="2:3" ht="15.75" customHeight="1">
      <c r="B35" s="436"/>
      <c r="C35" s="404"/>
    </row>
    <row r="36" spans="2:3" ht="15.75" customHeight="1">
      <c r="B36" s="436"/>
      <c r="C36" s="404"/>
    </row>
    <row r="37" spans="2:3" ht="18.75">
      <c r="B37" s="511" t="str">
        <f>'Thong tin'!B5</f>
        <v>Duy Thị Thúy</v>
      </c>
      <c r="C37" s="511" t="str">
        <f>'Thong tin'!B6</f>
        <v>Nguyễn Tuyên </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509" t="s">
        <v>181</v>
      </c>
      <c r="B44" s="1510"/>
      <c r="C44" s="1510"/>
    </row>
    <row r="45" spans="1:3" ht="18.75" hidden="1">
      <c r="A45" s="1507" t="s">
        <v>69</v>
      </c>
      <c r="B45" s="1508"/>
      <c r="C45" s="387" t="s">
        <v>339</v>
      </c>
    </row>
    <row r="46" spans="1:3" ht="15.75" hidden="1">
      <c r="A46" s="1505" t="s">
        <v>6</v>
      </c>
      <c r="B46" s="1506"/>
      <c r="C46" s="397">
        <v>1</v>
      </c>
    </row>
    <row r="47" spans="1:3" ht="19.5" customHeight="1" hidden="1">
      <c r="A47" s="395" t="s">
        <v>51</v>
      </c>
      <c r="B47" s="396" t="s">
        <v>347</v>
      </c>
      <c r="C47" s="398">
        <f>SUM(C48:C53)</f>
        <v>0</v>
      </c>
    </row>
    <row r="48" spans="1:3" ht="19.5" customHeight="1" hidden="1">
      <c r="A48" s="5" t="s">
        <v>53</v>
      </c>
      <c r="B48" s="34" t="s">
        <v>152</v>
      </c>
      <c r="C48" s="399"/>
    </row>
    <row r="49" spans="1:3" ht="19.5" customHeight="1" hidden="1">
      <c r="A49" s="5" t="s">
        <v>54</v>
      </c>
      <c r="B49" s="34" t="s">
        <v>153</v>
      </c>
      <c r="C49" s="399"/>
    </row>
    <row r="50" spans="1:3" ht="19.5" customHeight="1" hidden="1">
      <c r="A50" s="5" t="s">
        <v>140</v>
      </c>
      <c r="B50" s="34" t="s">
        <v>154</v>
      </c>
      <c r="C50" s="399"/>
    </row>
    <row r="51" spans="1:3" ht="19.5" customHeight="1" hidden="1">
      <c r="A51" s="5" t="s">
        <v>142</v>
      </c>
      <c r="B51" s="34" t="s">
        <v>155</v>
      </c>
      <c r="C51" s="399"/>
    </row>
    <row r="52" spans="1:3" ht="19.5" customHeight="1" hidden="1">
      <c r="A52" s="5" t="s">
        <v>144</v>
      </c>
      <c r="B52" s="34" t="s">
        <v>156</v>
      </c>
      <c r="C52" s="399"/>
    </row>
    <row r="53" spans="1:3" ht="19.5" customHeight="1" hidden="1">
      <c r="A53" s="5" t="s">
        <v>146</v>
      </c>
      <c r="B53" s="34" t="s">
        <v>157</v>
      </c>
      <c r="C53" s="399"/>
    </row>
    <row r="54" spans="1:3" ht="19.5" customHeight="1" hidden="1">
      <c r="A54" s="395" t="s">
        <v>52</v>
      </c>
      <c r="B54" s="396" t="s">
        <v>345</v>
      </c>
      <c r="C54" s="398">
        <f>SUM(C55:C56)</f>
        <v>0</v>
      </c>
    </row>
    <row r="55" spans="1:3" ht="19.5" customHeight="1" hidden="1">
      <c r="A55" s="5" t="s">
        <v>55</v>
      </c>
      <c r="B55" s="34" t="s">
        <v>158</v>
      </c>
      <c r="C55" s="399"/>
    </row>
    <row r="56" spans="1:3" ht="19.5" customHeight="1" hidden="1">
      <c r="A56" s="5" t="s">
        <v>56</v>
      </c>
      <c r="B56" s="34" t="s">
        <v>159</v>
      </c>
      <c r="C56" s="399"/>
    </row>
    <row r="57" spans="1:3" ht="19.5" customHeight="1" hidden="1">
      <c r="A57" s="395" t="s">
        <v>57</v>
      </c>
      <c r="B57" s="396" t="s">
        <v>149</v>
      </c>
      <c r="C57" s="398">
        <f>SUM(C58:C60)</f>
        <v>0</v>
      </c>
    </row>
    <row r="58" spans="1:3" ht="19.5" customHeight="1" hidden="1">
      <c r="A58" s="5" t="s">
        <v>160</v>
      </c>
      <c r="B58" s="37" t="s">
        <v>161</v>
      </c>
      <c r="C58" s="399"/>
    </row>
    <row r="59" spans="1:3" ht="19.5" customHeight="1" hidden="1">
      <c r="A59" s="5" t="s">
        <v>162</v>
      </c>
      <c r="B59" s="34" t="s">
        <v>163</v>
      </c>
      <c r="C59" s="399"/>
    </row>
    <row r="60" spans="1:3" ht="19.5" customHeight="1" hidden="1">
      <c r="A60" s="5" t="s">
        <v>164</v>
      </c>
      <c r="B60" s="34" t="s">
        <v>165</v>
      </c>
      <c r="C60" s="399"/>
    </row>
    <row r="61" spans="1:3" ht="19.5" customHeight="1" hidden="1">
      <c r="A61" s="395" t="s">
        <v>72</v>
      </c>
      <c r="B61" s="396" t="s">
        <v>346</v>
      </c>
      <c r="C61" s="398">
        <f>SUM(C62:C67)</f>
        <v>0</v>
      </c>
    </row>
    <row r="62" spans="1:3" ht="19.5" customHeight="1" hidden="1">
      <c r="A62" s="5" t="s">
        <v>166</v>
      </c>
      <c r="B62" s="34" t="s">
        <v>167</v>
      </c>
      <c r="C62" s="399"/>
    </row>
    <row r="63" spans="1:3" ht="19.5" customHeight="1" hidden="1">
      <c r="A63" s="5" t="s">
        <v>168</v>
      </c>
      <c r="B63" s="34" t="s">
        <v>169</v>
      </c>
      <c r="C63" s="399"/>
    </row>
    <row r="64" spans="1:3" ht="19.5" customHeight="1" hidden="1">
      <c r="A64" s="5" t="s">
        <v>170</v>
      </c>
      <c r="B64" s="34" t="s">
        <v>171</v>
      </c>
      <c r="C64" s="399"/>
    </row>
    <row r="65" spans="1:3" ht="19.5" customHeight="1" hidden="1">
      <c r="A65" s="5" t="s">
        <v>172</v>
      </c>
      <c r="B65" s="34" t="s">
        <v>155</v>
      </c>
      <c r="C65" s="399"/>
    </row>
    <row r="66" spans="1:3" ht="19.5" customHeight="1" hidden="1">
      <c r="A66" s="5" t="s">
        <v>173</v>
      </c>
      <c r="B66" s="34" t="s">
        <v>156</v>
      </c>
      <c r="C66" s="399"/>
    </row>
    <row r="67" spans="1:3" ht="19.5" customHeight="1" hidden="1">
      <c r="A67" s="5" t="s">
        <v>174</v>
      </c>
      <c r="B67" s="34" t="s">
        <v>175</v>
      </c>
      <c r="C67" s="399"/>
    </row>
    <row r="68" spans="1:3" ht="19.5" customHeight="1" hidden="1">
      <c r="A68" s="395" t="s">
        <v>73</v>
      </c>
      <c r="B68" s="396" t="s">
        <v>348</v>
      </c>
      <c r="C68" s="398">
        <f>SUM(C69:C71)</f>
        <v>25</v>
      </c>
    </row>
    <row r="69" spans="1:3" ht="19.5" customHeight="1" hidden="1">
      <c r="A69" s="5" t="s">
        <v>176</v>
      </c>
      <c r="B69" s="34" t="s">
        <v>167</v>
      </c>
      <c r="C69" s="399">
        <v>25</v>
      </c>
    </row>
    <row r="70" spans="1:3" ht="19.5" customHeight="1" hidden="1">
      <c r="A70" s="5" t="s">
        <v>177</v>
      </c>
      <c r="B70" s="34" t="s">
        <v>169</v>
      </c>
      <c r="C70" s="399">
        <v>0</v>
      </c>
    </row>
    <row r="71" spans="1:3" ht="19.5" customHeight="1" hidden="1">
      <c r="A71" s="5" t="s">
        <v>178</v>
      </c>
      <c r="B71" s="34" t="s">
        <v>179</v>
      </c>
      <c r="C71" s="399">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509" t="s">
        <v>181</v>
      </c>
      <c r="B82" s="1510"/>
      <c r="C82" s="1510"/>
    </row>
    <row r="83" spans="1:3" ht="18.75" hidden="1">
      <c r="A83" s="1507" t="s">
        <v>69</v>
      </c>
      <c r="B83" s="1508"/>
      <c r="C83" s="387" t="s">
        <v>339</v>
      </c>
    </row>
    <row r="84" spans="1:3" ht="24.75" customHeight="1" hidden="1">
      <c r="A84" s="1505" t="s">
        <v>6</v>
      </c>
      <c r="B84" s="1506"/>
      <c r="C84" s="397">
        <v>1</v>
      </c>
    </row>
    <row r="85" spans="1:3" ht="24.75" customHeight="1" hidden="1">
      <c r="A85" s="395" t="s">
        <v>51</v>
      </c>
      <c r="B85" s="396" t="s">
        <v>347</v>
      </c>
      <c r="C85" s="398">
        <f>SUM(C86:C91)</f>
        <v>2</v>
      </c>
    </row>
    <row r="86" spans="1:3" ht="24.75" customHeight="1" hidden="1">
      <c r="A86" s="5" t="s">
        <v>53</v>
      </c>
      <c r="B86" s="34" t="s">
        <v>152</v>
      </c>
      <c r="C86" s="399"/>
    </row>
    <row r="87" spans="1:3" ht="24.75" customHeight="1" hidden="1">
      <c r="A87" s="5" t="s">
        <v>54</v>
      </c>
      <c r="B87" s="34" t="s">
        <v>153</v>
      </c>
      <c r="C87" s="399"/>
    </row>
    <row r="88" spans="1:3" ht="24.75" customHeight="1" hidden="1">
      <c r="A88" s="5" t="s">
        <v>140</v>
      </c>
      <c r="B88" s="34" t="s">
        <v>154</v>
      </c>
      <c r="C88" s="399">
        <v>2</v>
      </c>
    </row>
    <row r="89" spans="1:3" ht="24.75" customHeight="1" hidden="1">
      <c r="A89" s="5" t="s">
        <v>142</v>
      </c>
      <c r="B89" s="34" t="s">
        <v>155</v>
      </c>
      <c r="C89" s="399"/>
    </row>
    <row r="90" spans="1:3" ht="24.75" customHeight="1" hidden="1">
      <c r="A90" s="5" t="s">
        <v>144</v>
      </c>
      <c r="B90" s="34" t="s">
        <v>156</v>
      </c>
      <c r="C90" s="399"/>
    </row>
    <row r="91" spans="1:3" ht="24.75" customHeight="1" hidden="1">
      <c r="A91" s="5" t="s">
        <v>146</v>
      </c>
      <c r="B91" s="34" t="s">
        <v>157</v>
      </c>
      <c r="C91" s="399"/>
    </row>
    <row r="92" spans="1:3" ht="24.75" customHeight="1" hidden="1">
      <c r="A92" s="395" t="s">
        <v>52</v>
      </c>
      <c r="B92" s="396" t="s">
        <v>345</v>
      </c>
      <c r="C92" s="398">
        <f>SUM(C93:C94)</f>
        <v>0</v>
      </c>
    </row>
    <row r="93" spans="1:3" ht="24.75" customHeight="1" hidden="1">
      <c r="A93" s="5" t="s">
        <v>55</v>
      </c>
      <c r="B93" s="34" t="s">
        <v>158</v>
      </c>
      <c r="C93" s="399"/>
    </row>
    <row r="94" spans="1:3" ht="24.75" customHeight="1" hidden="1">
      <c r="A94" s="5" t="s">
        <v>56</v>
      </c>
      <c r="B94" s="34" t="s">
        <v>159</v>
      </c>
      <c r="C94" s="399"/>
    </row>
    <row r="95" spans="1:3" ht="24.75" customHeight="1" hidden="1">
      <c r="A95" s="395" t="s">
        <v>57</v>
      </c>
      <c r="B95" s="396" t="s">
        <v>149</v>
      </c>
      <c r="C95" s="398">
        <f>SUM(C96:C98)</f>
        <v>0</v>
      </c>
    </row>
    <row r="96" spans="1:3" ht="24.75" customHeight="1" hidden="1">
      <c r="A96" s="5" t="s">
        <v>160</v>
      </c>
      <c r="B96" s="37" t="s">
        <v>161</v>
      </c>
      <c r="C96" s="399"/>
    </row>
    <row r="97" spans="1:3" ht="24.75" customHeight="1" hidden="1">
      <c r="A97" s="5" t="s">
        <v>162</v>
      </c>
      <c r="B97" s="34" t="s">
        <v>163</v>
      </c>
      <c r="C97" s="399"/>
    </row>
    <row r="98" spans="1:3" ht="24.75" customHeight="1" hidden="1">
      <c r="A98" s="5" t="s">
        <v>164</v>
      </c>
      <c r="B98" s="34" t="s">
        <v>165</v>
      </c>
      <c r="C98" s="399"/>
    </row>
    <row r="99" spans="1:3" ht="24.75" customHeight="1" hidden="1">
      <c r="A99" s="395" t="s">
        <v>72</v>
      </c>
      <c r="B99" s="396" t="s">
        <v>346</v>
      </c>
      <c r="C99" s="398">
        <f>SUM(C100:C105)</f>
        <v>0</v>
      </c>
    </row>
    <row r="100" spans="1:3" ht="24.75" customHeight="1" hidden="1">
      <c r="A100" s="5" t="s">
        <v>166</v>
      </c>
      <c r="B100" s="34" t="s">
        <v>167</v>
      </c>
      <c r="C100" s="399"/>
    </row>
    <row r="101" spans="1:3" ht="24.75" customHeight="1" hidden="1">
      <c r="A101" s="5" t="s">
        <v>168</v>
      </c>
      <c r="B101" s="34" t="s">
        <v>169</v>
      </c>
      <c r="C101" s="399"/>
    </row>
    <row r="102" spans="1:3" ht="24.75" customHeight="1" hidden="1">
      <c r="A102" s="5" t="s">
        <v>170</v>
      </c>
      <c r="B102" s="34" t="s">
        <v>171</v>
      </c>
      <c r="C102" s="399"/>
    </row>
    <row r="103" spans="1:3" ht="24.75" customHeight="1" hidden="1">
      <c r="A103" s="5" t="s">
        <v>172</v>
      </c>
      <c r="B103" s="34" t="s">
        <v>155</v>
      </c>
      <c r="C103" s="399"/>
    </row>
    <row r="104" spans="1:3" ht="24.75" customHeight="1" hidden="1">
      <c r="A104" s="5" t="s">
        <v>173</v>
      </c>
      <c r="B104" s="34" t="s">
        <v>156</v>
      </c>
      <c r="C104" s="399"/>
    </row>
    <row r="105" spans="1:3" ht="24.75" customHeight="1" hidden="1">
      <c r="A105" s="5" t="s">
        <v>174</v>
      </c>
      <c r="B105" s="34" t="s">
        <v>175</v>
      </c>
      <c r="C105" s="399"/>
    </row>
    <row r="106" spans="1:3" ht="24.75" customHeight="1" hidden="1">
      <c r="A106" s="395" t="s">
        <v>73</v>
      </c>
      <c r="B106" s="396" t="s">
        <v>348</v>
      </c>
      <c r="C106" s="398">
        <f>SUM(C107:C109)</f>
        <v>46</v>
      </c>
    </row>
    <row r="107" spans="1:3" ht="24.75" customHeight="1" hidden="1">
      <c r="A107" s="5" t="s">
        <v>176</v>
      </c>
      <c r="B107" s="34" t="s">
        <v>167</v>
      </c>
      <c r="C107" s="399">
        <v>43</v>
      </c>
    </row>
    <row r="108" spans="1:3" ht="24.75" customHeight="1" hidden="1">
      <c r="A108" s="5" t="s">
        <v>177</v>
      </c>
      <c r="B108" s="34" t="s">
        <v>169</v>
      </c>
      <c r="C108" s="399"/>
    </row>
    <row r="109" spans="1:3" ht="24.75" customHeight="1" hidden="1">
      <c r="A109" s="5" t="s">
        <v>178</v>
      </c>
      <c r="B109" s="34" t="s">
        <v>179</v>
      </c>
      <c r="C109" s="399">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509" t="s">
        <v>181</v>
      </c>
      <c r="B120" s="1510"/>
      <c r="C120" s="1510"/>
    </row>
    <row r="121" spans="1:3" ht="18.75" hidden="1">
      <c r="A121" s="1507" t="s">
        <v>69</v>
      </c>
      <c r="B121" s="1508"/>
      <c r="C121" s="387" t="s">
        <v>339</v>
      </c>
    </row>
    <row r="122" spans="1:3" ht="15.75" hidden="1">
      <c r="A122" s="1505" t="s">
        <v>6</v>
      </c>
      <c r="B122" s="1506"/>
      <c r="C122" s="397">
        <v>1</v>
      </c>
    </row>
    <row r="123" spans="1:3" ht="24.75" customHeight="1" hidden="1">
      <c r="A123" s="395" t="s">
        <v>51</v>
      </c>
      <c r="B123" s="396" t="s">
        <v>347</v>
      </c>
      <c r="C123" s="398">
        <f>SUM(C124:C129)</f>
        <v>0</v>
      </c>
    </row>
    <row r="124" spans="1:3" ht="24.75" customHeight="1" hidden="1">
      <c r="A124" s="5" t="s">
        <v>53</v>
      </c>
      <c r="B124" s="34" t="s">
        <v>152</v>
      </c>
      <c r="C124" s="399"/>
    </row>
    <row r="125" spans="1:3" ht="24.75" customHeight="1" hidden="1">
      <c r="A125" s="5" t="s">
        <v>54</v>
      </c>
      <c r="B125" s="34" t="s">
        <v>153</v>
      </c>
      <c r="C125" s="399"/>
    </row>
    <row r="126" spans="1:3" ht="24.75" customHeight="1" hidden="1">
      <c r="A126" s="5" t="s">
        <v>140</v>
      </c>
      <c r="B126" s="34" t="s">
        <v>154</v>
      </c>
      <c r="C126" s="399"/>
    </row>
    <row r="127" spans="1:3" ht="24.75" customHeight="1" hidden="1">
      <c r="A127" s="5" t="s">
        <v>142</v>
      </c>
      <c r="B127" s="34" t="s">
        <v>155</v>
      </c>
      <c r="C127" s="399"/>
    </row>
    <row r="128" spans="1:3" ht="24.75" customHeight="1" hidden="1">
      <c r="A128" s="5" t="s">
        <v>144</v>
      </c>
      <c r="B128" s="34" t="s">
        <v>156</v>
      </c>
      <c r="C128" s="399"/>
    </row>
    <row r="129" spans="1:3" ht="24.75" customHeight="1" hidden="1">
      <c r="A129" s="5" t="s">
        <v>146</v>
      </c>
      <c r="B129" s="34" t="s">
        <v>157</v>
      </c>
      <c r="C129" s="399"/>
    </row>
    <row r="130" spans="1:3" ht="24.75" customHeight="1" hidden="1">
      <c r="A130" s="395" t="s">
        <v>52</v>
      </c>
      <c r="B130" s="396" t="s">
        <v>345</v>
      </c>
      <c r="C130" s="398">
        <f>SUM(C131:C132)</f>
        <v>0</v>
      </c>
    </row>
    <row r="131" spans="1:3" ht="24.75" customHeight="1" hidden="1">
      <c r="A131" s="5" t="s">
        <v>55</v>
      </c>
      <c r="B131" s="34" t="s">
        <v>158</v>
      </c>
      <c r="C131" s="399"/>
    </row>
    <row r="132" spans="1:3" ht="24.75" customHeight="1" hidden="1">
      <c r="A132" s="5" t="s">
        <v>56</v>
      </c>
      <c r="B132" s="34" t="s">
        <v>159</v>
      </c>
      <c r="C132" s="399"/>
    </row>
    <row r="133" spans="1:3" ht="24.75" customHeight="1" hidden="1">
      <c r="A133" s="395" t="s">
        <v>57</v>
      </c>
      <c r="B133" s="396" t="s">
        <v>149</v>
      </c>
      <c r="C133" s="398">
        <f>SUM(C134:C136)</f>
        <v>12</v>
      </c>
    </row>
    <row r="134" spans="1:3" ht="24.75" customHeight="1" hidden="1">
      <c r="A134" s="5" t="s">
        <v>160</v>
      </c>
      <c r="B134" s="37" t="s">
        <v>161</v>
      </c>
      <c r="C134" s="399">
        <v>12</v>
      </c>
    </row>
    <row r="135" spans="1:3" ht="24.75" customHeight="1" hidden="1">
      <c r="A135" s="5" t="s">
        <v>162</v>
      </c>
      <c r="B135" s="34" t="s">
        <v>163</v>
      </c>
      <c r="C135" s="399"/>
    </row>
    <row r="136" spans="1:3" ht="24.75" customHeight="1" hidden="1">
      <c r="A136" s="5" t="s">
        <v>164</v>
      </c>
      <c r="B136" s="34" t="s">
        <v>165</v>
      </c>
      <c r="C136" s="399"/>
    </row>
    <row r="137" spans="1:3" ht="24.75" customHeight="1" hidden="1">
      <c r="A137" s="395" t="s">
        <v>72</v>
      </c>
      <c r="B137" s="396" t="s">
        <v>346</v>
      </c>
      <c r="C137" s="398">
        <f>SUM(C138:C143)</f>
        <v>0</v>
      </c>
    </row>
    <row r="138" spans="1:3" ht="24.75" customHeight="1" hidden="1">
      <c r="A138" s="5" t="s">
        <v>166</v>
      </c>
      <c r="B138" s="34" t="s">
        <v>167</v>
      </c>
      <c r="C138" s="399"/>
    </row>
    <row r="139" spans="1:3" ht="24.75" customHeight="1" hidden="1">
      <c r="A139" s="5" t="s">
        <v>168</v>
      </c>
      <c r="B139" s="34" t="s">
        <v>169</v>
      </c>
      <c r="C139" s="399"/>
    </row>
    <row r="140" spans="1:3" ht="24.75" customHeight="1" hidden="1">
      <c r="A140" s="5" t="s">
        <v>170</v>
      </c>
      <c r="B140" s="34" t="s">
        <v>171</v>
      </c>
      <c r="C140" s="399"/>
    </row>
    <row r="141" spans="1:3" ht="24.75" customHeight="1" hidden="1">
      <c r="A141" s="5" t="s">
        <v>172</v>
      </c>
      <c r="B141" s="34" t="s">
        <v>155</v>
      </c>
      <c r="C141" s="399"/>
    </row>
    <row r="142" spans="1:3" ht="24.75" customHeight="1" hidden="1">
      <c r="A142" s="5" t="s">
        <v>173</v>
      </c>
      <c r="B142" s="34" t="s">
        <v>156</v>
      </c>
      <c r="C142" s="399"/>
    </row>
    <row r="143" spans="1:3" ht="24.75" customHeight="1" hidden="1">
      <c r="A143" s="5" t="s">
        <v>174</v>
      </c>
      <c r="B143" s="34" t="s">
        <v>175</v>
      </c>
      <c r="C143" s="399"/>
    </row>
    <row r="144" spans="1:3" ht="24.75" customHeight="1" hidden="1">
      <c r="A144" s="395" t="s">
        <v>73</v>
      </c>
      <c r="B144" s="396" t="s">
        <v>348</v>
      </c>
      <c r="C144" s="398">
        <f>SUM(C145:C147)</f>
        <v>19</v>
      </c>
    </row>
    <row r="145" spans="1:3" ht="24.75" customHeight="1" hidden="1">
      <c r="A145" s="5" t="s">
        <v>176</v>
      </c>
      <c r="B145" s="34" t="s">
        <v>167</v>
      </c>
      <c r="C145" s="399"/>
    </row>
    <row r="146" spans="1:3" ht="24.75" customHeight="1" hidden="1">
      <c r="A146" s="5" t="s">
        <v>177</v>
      </c>
      <c r="B146" s="34" t="s">
        <v>169</v>
      </c>
      <c r="C146" s="399"/>
    </row>
    <row r="147" spans="1:3" ht="24.75" customHeight="1" hidden="1">
      <c r="A147" s="5" t="s">
        <v>178</v>
      </c>
      <c r="B147" s="34" t="s">
        <v>179</v>
      </c>
      <c r="C147" s="399">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509" t="s">
        <v>181</v>
      </c>
      <c r="B160" s="1510"/>
      <c r="C160" s="1510"/>
    </row>
    <row r="161" spans="1:3" ht="18.75" hidden="1">
      <c r="A161" s="1507" t="s">
        <v>69</v>
      </c>
      <c r="B161" s="1508"/>
      <c r="C161" s="387" t="s">
        <v>339</v>
      </c>
    </row>
    <row r="162" spans="1:3" ht="15.75" hidden="1">
      <c r="A162" s="1505" t="s">
        <v>6</v>
      </c>
      <c r="B162" s="1506"/>
      <c r="C162" s="397">
        <v>1</v>
      </c>
    </row>
    <row r="163" spans="1:3" ht="24.75" customHeight="1" hidden="1">
      <c r="A163" s="395" t="s">
        <v>51</v>
      </c>
      <c r="B163" s="396" t="s">
        <v>347</v>
      </c>
      <c r="C163" s="398">
        <f>SUM(C164:C169)</f>
        <v>0</v>
      </c>
    </row>
    <row r="164" spans="1:3" ht="24.75" customHeight="1" hidden="1">
      <c r="A164" s="5" t="s">
        <v>53</v>
      </c>
      <c r="B164" s="34" t="s">
        <v>152</v>
      </c>
      <c r="C164" s="399"/>
    </row>
    <row r="165" spans="1:3" ht="24.75" customHeight="1" hidden="1">
      <c r="A165" s="5" t="s">
        <v>54</v>
      </c>
      <c r="B165" s="34" t="s">
        <v>153</v>
      </c>
      <c r="C165" s="399"/>
    </row>
    <row r="166" spans="1:3" ht="24.75" customHeight="1" hidden="1">
      <c r="A166" s="5" t="s">
        <v>140</v>
      </c>
      <c r="B166" s="34" t="s">
        <v>154</v>
      </c>
      <c r="C166" s="399"/>
    </row>
    <row r="167" spans="1:3" ht="24.75" customHeight="1" hidden="1">
      <c r="A167" s="5" t="s">
        <v>142</v>
      </c>
      <c r="B167" s="34" t="s">
        <v>155</v>
      </c>
      <c r="C167" s="399"/>
    </row>
    <row r="168" spans="1:3" ht="24.75" customHeight="1" hidden="1">
      <c r="A168" s="5" t="s">
        <v>144</v>
      </c>
      <c r="B168" s="34" t="s">
        <v>156</v>
      </c>
      <c r="C168" s="399"/>
    </row>
    <row r="169" spans="1:3" ht="24.75" customHeight="1" hidden="1">
      <c r="A169" s="5" t="s">
        <v>146</v>
      </c>
      <c r="B169" s="34" t="s">
        <v>157</v>
      </c>
      <c r="C169" s="399"/>
    </row>
    <row r="170" spans="1:3" ht="24.75" customHeight="1" hidden="1">
      <c r="A170" s="395" t="s">
        <v>52</v>
      </c>
      <c r="B170" s="396" t="s">
        <v>345</v>
      </c>
      <c r="C170" s="398">
        <f>SUM(C171:C172)</f>
        <v>0</v>
      </c>
    </row>
    <row r="171" spans="1:3" ht="24.75" customHeight="1" hidden="1">
      <c r="A171" s="5" t="s">
        <v>55</v>
      </c>
      <c r="B171" s="34" t="s">
        <v>158</v>
      </c>
      <c r="C171" s="399"/>
    </row>
    <row r="172" spans="1:3" ht="24.75" customHeight="1" hidden="1">
      <c r="A172" s="5" t="s">
        <v>56</v>
      </c>
      <c r="B172" s="34" t="s">
        <v>159</v>
      </c>
      <c r="C172" s="399"/>
    </row>
    <row r="173" spans="1:3" ht="24.75" customHeight="1" hidden="1">
      <c r="A173" s="395" t="s">
        <v>57</v>
      </c>
      <c r="B173" s="396" t="s">
        <v>149</v>
      </c>
      <c r="C173" s="398">
        <f>SUM(C174:C176)</f>
        <v>0</v>
      </c>
    </row>
    <row r="174" spans="1:3" ht="24.75" customHeight="1" hidden="1">
      <c r="A174" s="5" t="s">
        <v>160</v>
      </c>
      <c r="B174" s="37" t="s">
        <v>161</v>
      </c>
      <c r="C174" s="399"/>
    </row>
    <row r="175" spans="1:3" ht="24.75" customHeight="1" hidden="1">
      <c r="A175" s="5" t="s">
        <v>162</v>
      </c>
      <c r="B175" s="34" t="s">
        <v>163</v>
      </c>
      <c r="C175" s="399"/>
    </row>
    <row r="176" spans="1:3" ht="24.75" customHeight="1" hidden="1">
      <c r="A176" s="5" t="s">
        <v>164</v>
      </c>
      <c r="B176" s="34" t="s">
        <v>165</v>
      </c>
      <c r="C176" s="399"/>
    </row>
    <row r="177" spans="1:3" ht="24.75" customHeight="1" hidden="1">
      <c r="A177" s="395" t="s">
        <v>72</v>
      </c>
      <c r="B177" s="396" t="s">
        <v>346</v>
      </c>
      <c r="C177" s="398">
        <f>SUM(C178:C183)</f>
        <v>1</v>
      </c>
    </row>
    <row r="178" spans="1:3" ht="24.75" customHeight="1" hidden="1">
      <c r="A178" s="5" t="s">
        <v>166</v>
      </c>
      <c r="B178" s="34" t="s">
        <v>167</v>
      </c>
      <c r="C178" s="399">
        <v>1</v>
      </c>
    </row>
    <row r="179" spans="1:3" ht="24.75" customHeight="1" hidden="1">
      <c r="A179" s="5" t="s">
        <v>168</v>
      </c>
      <c r="B179" s="34" t="s">
        <v>169</v>
      </c>
      <c r="C179" s="399">
        <v>0</v>
      </c>
    </row>
    <row r="180" spans="1:3" ht="24.75" customHeight="1" hidden="1">
      <c r="A180" s="5" t="s">
        <v>170</v>
      </c>
      <c r="B180" s="34" t="s">
        <v>171</v>
      </c>
      <c r="C180" s="399">
        <v>0</v>
      </c>
    </row>
    <row r="181" spans="1:3" ht="24.75" customHeight="1" hidden="1">
      <c r="A181" s="5" t="s">
        <v>172</v>
      </c>
      <c r="B181" s="34" t="s">
        <v>155</v>
      </c>
      <c r="C181" s="399">
        <v>0</v>
      </c>
    </row>
    <row r="182" spans="1:3" ht="24.75" customHeight="1" hidden="1">
      <c r="A182" s="5" t="s">
        <v>173</v>
      </c>
      <c r="B182" s="34" t="s">
        <v>156</v>
      </c>
      <c r="C182" s="399">
        <v>0</v>
      </c>
    </row>
    <row r="183" spans="1:3" ht="24.75" customHeight="1" hidden="1">
      <c r="A183" s="5" t="s">
        <v>174</v>
      </c>
      <c r="B183" s="34" t="s">
        <v>175</v>
      </c>
      <c r="C183" s="399">
        <v>0</v>
      </c>
    </row>
    <row r="184" spans="1:3" ht="24.75" customHeight="1" hidden="1">
      <c r="A184" s="395" t="s">
        <v>73</v>
      </c>
      <c r="B184" s="396" t="s">
        <v>348</v>
      </c>
      <c r="C184" s="398">
        <f>SUM(C185:C187)</f>
        <v>74</v>
      </c>
    </row>
    <row r="185" spans="1:3" ht="24.75" customHeight="1" hidden="1">
      <c r="A185" s="5" t="s">
        <v>176</v>
      </c>
      <c r="B185" s="34" t="s">
        <v>167</v>
      </c>
      <c r="C185" s="399">
        <v>66</v>
      </c>
    </row>
    <row r="186" spans="1:3" ht="24.75" customHeight="1" hidden="1">
      <c r="A186" s="5" t="s">
        <v>177</v>
      </c>
      <c r="B186" s="34" t="s">
        <v>169</v>
      </c>
      <c r="C186" s="399">
        <v>0</v>
      </c>
    </row>
    <row r="187" spans="1:3" ht="24.75" customHeight="1" hidden="1">
      <c r="A187" s="5" t="s">
        <v>178</v>
      </c>
      <c r="B187" s="34" t="s">
        <v>179</v>
      </c>
      <c r="C187" s="399">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509" t="s">
        <v>181</v>
      </c>
      <c r="B199" s="1510"/>
      <c r="C199" s="1510"/>
    </row>
    <row r="200" spans="1:3" ht="18.75" hidden="1">
      <c r="A200" s="1507" t="s">
        <v>69</v>
      </c>
      <c r="B200" s="1508"/>
      <c r="C200" s="387" t="s">
        <v>339</v>
      </c>
    </row>
    <row r="201" spans="1:3" ht="15.75" hidden="1">
      <c r="A201" s="1505" t="s">
        <v>6</v>
      </c>
      <c r="B201" s="1506"/>
      <c r="C201" s="397">
        <v>1</v>
      </c>
    </row>
    <row r="202" spans="1:3" ht="24.75" customHeight="1" hidden="1">
      <c r="A202" s="395" t="s">
        <v>51</v>
      </c>
      <c r="B202" s="396" t="s">
        <v>347</v>
      </c>
      <c r="C202" s="398">
        <f>SUM(C203:C208)</f>
        <v>0</v>
      </c>
    </row>
    <row r="203" spans="1:3" ht="24.75" customHeight="1" hidden="1">
      <c r="A203" s="5" t="s">
        <v>53</v>
      </c>
      <c r="B203" s="34" t="s">
        <v>152</v>
      </c>
      <c r="C203" s="399"/>
    </row>
    <row r="204" spans="1:3" ht="24.75" customHeight="1" hidden="1">
      <c r="A204" s="5" t="s">
        <v>54</v>
      </c>
      <c r="B204" s="34" t="s">
        <v>153</v>
      </c>
      <c r="C204" s="399"/>
    </row>
    <row r="205" spans="1:3" ht="24.75" customHeight="1" hidden="1">
      <c r="A205" s="5" t="s">
        <v>140</v>
      </c>
      <c r="B205" s="34" t="s">
        <v>154</v>
      </c>
      <c r="C205" s="399"/>
    </row>
    <row r="206" spans="1:3" ht="24.75" customHeight="1" hidden="1">
      <c r="A206" s="5" t="s">
        <v>142</v>
      </c>
      <c r="B206" s="34" t="s">
        <v>155</v>
      </c>
      <c r="C206" s="399"/>
    </row>
    <row r="207" spans="1:3" ht="24.75" customHeight="1" hidden="1">
      <c r="A207" s="5" t="s">
        <v>144</v>
      </c>
      <c r="B207" s="34" t="s">
        <v>156</v>
      </c>
      <c r="C207" s="399"/>
    </row>
    <row r="208" spans="1:3" ht="24.75" customHeight="1" hidden="1">
      <c r="A208" s="5" t="s">
        <v>146</v>
      </c>
      <c r="B208" s="34" t="s">
        <v>157</v>
      </c>
      <c r="C208" s="399"/>
    </row>
    <row r="209" spans="1:3" ht="24.75" customHeight="1" hidden="1">
      <c r="A209" s="395" t="s">
        <v>52</v>
      </c>
      <c r="B209" s="396" t="s">
        <v>345</v>
      </c>
      <c r="C209" s="398">
        <f>SUM(C210:C211)</f>
        <v>0</v>
      </c>
    </row>
    <row r="210" spans="1:3" ht="24.75" customHeight="1" hidden="1">
      <c r="A210" s="5" t="s">
        <v>55</v>
      </c>
      <c r="B210" s="34" t="s">
        <v>158</v>
      </c>
      <c r="C210" s="399"/>
    </row>
    <row r="211" spans="1:3" ht="24.75" customHeight="1" hidden="1">
      <c r="A211" s="5" t="s">
        <v>56</v>
      </c>
      <c r="B211" s="34" t="s">
        <v>159</v>
      </c>
      <c r="C211" s="399"/>
    </row>
    <row r="212" spans="1:3" ht="24.75" customHeight="1" hidden="1">
      <c r="A212" s="395" t="s">
        <v>57</v>
      </c>
      <c r="B212" s="396" t="s">
        <v>149</v>
      </c>
      <c r="C212" s="398">
        <f>SUM(C213:C215)</f>
        <v>0</v>
      </c>
    </row>
    <row r="213" spans="1:3" ht="24.75" customHeight="1" hidden="1">
      <c r="A213" s="5" t="s">
        <v>160</v>
      </c>
      <c r="B213" s="37" t="s">
        <v>161</v>
      </c>
      <c r="C213" s="399"/>
    </row>
    <row r="214" spans="1:3" ht="24.75" customHeight="1" hidden="1">
      <c r="A214" s="5" t="s">
        <v>162</v>
      </c>
      <c r="B214" s="34" t="s">
        <v>163</v>
      </c>
      <c r="C214" s="399"/>
    </row>
    <row r="215" spans="1:3" ht="24.75" customHeight="1" hidden="1">
      <c r="A215" s="5" t="s">
        <v>164</v>
      </c>
      <c r="B215" s="34" t="s">
        <v>165</v>
      </c>
      <c r="C215" s="399"/>
    </row>
    <row r="216" spans="1:3" ht="24.75" customHeight="1" hidden="1">
      <c r="A216" s="395" t="s">
        <v>72</v>
      </c>
      <c r="B216" s="396" t="s">
        <v>346</v>
      </c>
      <c r="C216" s="398">
        <f>SUM(C217:C222)</f>
        <v>0</v>
      </c>
    </row>
    <row r="217" spans="1:3" ht="24.75" customHeight="1" hidden="1">
      <c r="A217" s="5" t="s">
        <v>166</v>
      </c>
      <c r="B217" s="34" t="s">
        <v>167</v>
      </c>
      <c r="C217" s="399"/>
    </row>
    <row r="218" spans="1:3" ht="24.75" customHeight="1" hidden="1">
      <c r="A218" s="5" t="s">
        <v>168</v>
      </c>
      <c r="B218" s="34" t="s">
        <v>169</v>
      </c>
      <c r="C218" s="399"/>
    </row>
    <row r="219" spans="1:3" ht="24.75" customHeight="1" hidden="1">
      <c r="A219" s="5" t="s">
        <v>170</v>
      </c>
      <c r="B219" s="34" t="s">
        <v>171</v>
      </c>
      <c r="C219" s="399"/>
    </row>
    <row r="220" spans="1:3" ht="24.75" customHeight="1" hidden="1">
      <c r="A220" s="5" t="s">
        <v>172</v>
      </c>
      <c r="B220" s="34" t="s">
        <v>155</v>
      </c>
      <c r="C220" s="399"/>
    </row>
    <row r="221" spans="1:3" ht="24.75" customHeight="1" hidden="1">
      <c r="A221" s="5" t="s">
        <v>173</v>
      </c>
      <c r="B221" s="34" t="s">
        <v>156</v>
      </c>
      <c r="C221" s="399"/>
    </row>
    <row r="222" spans="1:3" ht="24.75" customHeight="1" hidden="1">
      <c r="A222" s="5" t="s">
        <v>174</v>
      </c>
      <c r="B222" s="34" t="s">
        <v>175</v>
      </c>
      <c r="C222" s="399"/>
    </row>
    <row r="223" spans="1:3" ht="24.75" customHeight="1" hidden="1">
      <c r="A223" s="395" t="s">
        <v>73</v>
      </c>
      <c r="B223" s="396" t="s">
        <v>348</v>
      </c>
      <c r="C223" s="398">
        <f>SUM(C224:C226)</f>
        <v>7</v>
      </c>
    </row>
    <row r="224" spans="1:3" ht="24.75" customHeight="1" hidden="1">
      <c r="A224" s="5" t="s">
        <v>176</v>
      </c>
      <c r="B224" s="34" t="s">
        <v>167</v>
      </c>
      <c r="C224" s="399">
        <v>7</v>
      </c>
    </row>
    <row r="225" spans="1:3" ht="24.75" customHeight="1" hidden="1">
      <c r="A225" s="5" t="s">
        <v>177</v>
      </c>
      <c r="B225" s="34" t="s">
        <v>169</v>
      </c>
      <c r="C225" s="399">
        <v>0</v>
      </c>
    </row>
    <row r="226" spans="1:3" ht="24.75" customHeight="1" hidden="1">
      <c r="A226" s="5" t="s">
        <v>178</v>
      </c>
      <c r="B226" s="34" t="s">
        <v>179</v>
      </c>
      <c r="C226" s="399">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509" t="s">
        <v>181</v>
      </c>
      <c r="B237" s="1510"/>
      <c r="C237" s="1510"/>
    </row>
    <row r="238" spans="1:3" ht="18.75" hidden="1">
      <c r="A238" s="1507" t="s">
        <v>69</v>
      </c>
      <c r="B238" s="1508"/>
      <c r="C238" s="387" t="s">
        <v>339</v>
      </c>
    </row>
    <row r="239" spans="1:3" ht="15.75" hidden="1">
      <c r="A239" s="1505" t="s">
        <v>6</v>
      </c>
      <c r="B239" s="1506"/>
      <c r="C239" s="397">
        <v>1</v>
      </c>
    </row>
    <row r="240" spans="1:3" ht="24.75" customHeight="1" hidden="1">
      <c r="A240" s="395" t="s">
        <v>51</v>
      </c>
      <c r="B240" s="396" t="s">
        <v>347</v>
      </c>
      <c r="C240" s="398">
        <f>SUM(C241:C246)</f>
        <v>0</v>
      </c>
    </row>
    <row r="241" spans="1:3" ht="24.75" customHeight="1" hidden="1">
      <c r="A241" s="5" t="s">
        <v>53</v>
      </c>
      <c r="B241" s="34" t="s">
        <v>152</v>
      </c>
      <c r="C241" s="399"/>
    </row>
    <row r="242" spans="1:3" ht="24.75" customHeight="1" hidden="1">
      <c r="A242" s="5" t="s">
        <v>54</v>
      </c>
      <c r="B242" s="34" t="s">
        <v>153</v>
      </c>
      <c r="C242" s="399"/>
    </row>
    <row r="243" spans="1:3" ht="24.75" customHeight="1" hidden="1">
      <c r="A243" s="5" t="s">
        <v>140</v>
      </c>
      <c r="B243" s="34" t="s">
        <v>154</v>
      </c>
      <c r="C243" s="399"/>
    </row>
    <row r="244" spans="1:3" ht="24.75" customHeight="1" hidden="1">
      <c r="A244" s="5" t="s">
        <v>142</v>
      </c>
      <c r="B244" s="34" t="s">
        <v>155</v>
      </c>
      <c r="C244" s="399"/>
    </row>
    <row r="245" spans="1:3" ht="24.75" customHeight="1" hidden="1">
      <c r="A245" s="5" t="s">
        <v>144</v>
      </c>
      <c r="B245" s="34" t="s">
        <v>156</v>
      </c>
      <c r="C245" s="399"/>
    </row>
    <row r="246" spans="1:3" ht="24.75" customHeight="1" hidden="1">
      <c r="A246" s="5" t="s">
        <v>146</v>
      </c>
      <c r="B246" s="34" t="s">
        <v>157</v>
      </c>
      <c r="C246" s="399"/>
    </row>
    <row r="247" spans="1:3" ht="24.75" customHeight="1" hidden="1">
      <c r="A247" s="395" t="s">
        <v>52</v>
      </c>
      <c r="B247" s="396" t="s">
        <v>345</v>
      </c>
      <c r="C247" s="398">
        <f>SUM(C248:C249)</f>
        <v>0</v>
      </c>
    </row>
    <row r="248" spans="1:3" ht="24.75" customHeight="1" hidden="1">
      <c r="A248" s="5" t="s">
        <v>55</v>
      </c>
      <c r="B248" s="34" t="s">
        <v>158</v>
      </c>
      <c r="C248" s="399"/>
    </row>
    <row r="249" spans="1:3" ht="24.75" customHeight="1" hidden="1">
      <c r="A249" s="5" t="s">
        <v>56</v>
      </c>
      <c r="B249" s="34" t="s">
        <v>159</v>
      </c>
      <c r="C249" s="399"/>
    </row>
    <row r="250" spans="1:3" ht="24.75" customHeight="1" hidden="1">
      <c r="A250" s="395" t="s">
        <v>57</v>
      </c>
      <c r="B250" s="396" t="s">
        <v>149</v>
      </c>
      <c r="C250" s="398">
        <f>SUM(C251:C253)</f>
        <v>0</v>
      </c>
    </row>
    <row r="251" spans="1:3" ht="24.75" customHeight="1" hidden="1">
      <c r="A251" s="5" t="s">
        <v>160</v>
      </c>
      <c r="B251" s="37" t="s">
        <v>161</v>
      </c>
      <c r="C251" s="399"/>
    </row>
    <row r="252" spans="1:3" ht="24.75" customHeight="1" hidden="1">
      <c r="A252" s="5" t="s">
        <v>162</v>
      </c>
      <c r="B252" s="34" t="s">
        <v>163</v>
      </c>
      <c r="C252" s="399"/>
    </row>
    <row r="253" spans="1:3" ht="24.75" customHeight="1" hidden="1">
      <c r="A253" s="5" t="s">
        <v>164</v>
      </c>
      <c r="B253" s="34" t="s">
        <v>165</v>
      </c>
      <c r="C253" s="399"/>
    </row>
    <row r="254" spans="1:3" ht="24.75" customHeight="1" hidden="1">
      <c r="A254" s="395" t="s">
        <v>72</v>
      </c>
      <c r="B254" s="396" t="s">
        <v>346</v>
      </c>
      <c r="C254" s="398">
        <f>SUM(C255:C260)</f>
        <v>0</v>
      </c>
    </row>
    <row r="255" spans="1:3" ht="24.75" customHeight="1" hidden="1">
      <c r="A255" s="5" t="s">
        <v>166</v>
      </c>
      <c r="B255" s="34" t="s">
        <v>167</v>
      </c>
      <c r="C255" s="399"/>
    </row>
    <row r="256" spans="1:3" ht="24.75" customHeight="1" hidden="1">
      <c r="A256" s="5" t="s">
        <v>168</v>
      </c>
      <c r="B256" s="34" t="s">
        <v>169</v>
      </c>
      <c r="C256" s="399"/>
    </row>
    <row r="257" spans="1:3" ht="24.75" customHeight="1" hidden="1">
      <c r="A257" s="5" t="s">
        <v>170</v>
      </c>
      <c r="B257" s="34" t="s">
        <v>171</v>
      </c>
      <c r="C257" s="399"/>
    </row>
    <row r="258" spans="1:3" ht="24.75" customHeight="1" hidden="1">
      <c r="A258" s="5" t="s">
        <v>172</v>
      </c>
      <c r="B258" s="34" t="s">
        <v>155</v>
      </c>
      <c r="C258" s="399"/>
    </row>
    <row r="259" spans="1:3" ht="24.75" customHeight="1" hidden="1">
      <c r="A259" s="5" t="s">
        <v>173</v>
      </c>
      <c r="B259" s="34" t="s">
        <v>156</v>
      </c>
      <c r="C259" s="399"/>
    </row>
    <row r="260" spans="1:3" ht="24.75" customHeight="1" hidden="1">
      <c r="A260" s="5" t="s">
        <v>174</v>
      </c>
      <c r="B260" s="34" t="s">
        <v>175</v>
      </c>
      <c r="C260" s="399"/>
    </row>
    <row r="261" spans="1:3" ht="24.75" customHeight="1" hidden="1">
      <c r="A261" s="395" t="s">
        <v>73</v>
      </c>
      <c r="B261" s="396" t="s">
        <v>348</v>
      </c>
      <c r="C261" s="398">
        <f>SUM(C262:C264)</f>
        <v>45</v>
      </c>
    </row>
    <row r="262" spans="1:3" ht="24.75" customHeight="1" hidden="1">
      <c r="A262" s="5" t="s">
        <v>176</v>
      </c>
      <c r="B262" s="34" t="s">
        <v>167</v>
      </c>
      <c r="C262" s="399">
        <v>45</v>
      </c>
    </row>
    <row r="263" spans="1:3" ht="24.75" customHeight="1" hidden="1">
      <c r="A263" s="5" t="s">
        <v>177</v>
      </c>
      <c r="B263" s="34" t="s">
        <v>169</v>
      </c>
      <c r="C263" s="399">
        <v>0</v>
      </c>
    </row>
    <row r="264" spans="1:3" ht="24.75" customHeight="1" hidden="1">
      <c r="A264" s="5" t="s">
        <v>178</v>
      </c>
      <c r="B264" s="34" t="s">
        <v>179</v>
      </c>
      <c r="C264" s="399">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509" t="s">
        <v>181</v>
      </c>
      <c r="B277" s="1510"/>
      <c r="C277" s="1510"/>
    </row>
    <row r="278" spans="1:3" ht="18.75" hidden="1">
      <c r="A278" s="1507" t="s">
        <v>69</v>
      </c>
      <c r="B278" s="1508"/>
      <c r="C278" s="387" t="s">
        <v>339</v>
      </c>
    </row>
    <row r="279" spans="1:3" ht="15.75" hidden="1">
      <c r="A279" s="1505" t="s">
        <v>6</v>
      </c>
      <c r="B279" s="1506"/>
      <c r="C279" s="397">
        <v>1</v>
      </c>
    </row>
    <row r="280" spans="1:3" ht="24.75" customHeight="1" hidden="1">
      <c r="A280" s="395" t="s">
        <v>51</v>
      </c>
      <c r="B280" s="396" t="s">
        <v>347</v>
      </c>
      <c r="C280" s="398">
        <f>SUM(C281:C286)</f>
        <v>0</v>
      </c>
    </row>
    <row r="281" spans="1:3" ht="24.75" customHeight="1" hidden="1">
      <c r="A281" s="5" t="s">
        <v>53</v>
      </c>
      <c r="B281" s="34" t="s">
        <v>152</v>
      </c>
      <c r="C281" s="399"/>
    </row>
    <row r="282" spans="1:3" ht="24.75" customHeight="1" hidden="1">
      <c r="A282" s="5" t="s">
        <v>54</v>
      </c>
      <c r="B282" s="34" t="s">
        <v>153</v>
      </c>
      <c r="C282" s="399"/>
    </row>
    <row r="283" spans="1:3" ht="24.75" customHeight="1" hidden="1">
      <c r="A283" s="5" t="s">
        <v>140</v>
      </c>
      <c r="B283" s="34" t="s">
        <v>154</v>
      </c>
      <c r="C283" s="399"/>
    </row>
    <row r="284" spans="1:3" ht="24.75" customHeight="1" hidden="1">
      <c r="A284" s="5" t="s">
        <v>142</v>
      </c>
      <c r="B284" s="34" t="s">
        <v>155</v>
      </c>
      <c r="C284" s="399"/>
    </row>
    <row r="285" spans="1:3" ht="24.75" customHeight="1" hidden="1">
      <c r="A285" s="5" t="s">
        <v>144</v>
      </c>
      <c r="B285" s="34" t="s">
        <v>156</v>
      </c>
      <c r="C285" s="399"/>
    </row>
    <row r="286" spans="1:3" ht="24.75" customHeight="1" hidden="1">
      <c r="A286" s="5" t="s">
        <v>146</v>
      </c>
      <c r="B286" s="34" t="s">
        <v>157</v>
      </c>
      <c r="C286" s="399"/>
    </row>
    <row r="287" spans="1:3" ht="24.75" customHeight="1" hidden="1">
      <c r="A287" s="395" t="s">
        <v>52</v>
      </c>
      <c r="B287" s="396" t="s">
        <v>345</v>
      </c>
      <c r="C287" s="398">
        <f>SUM(C288:C289)</f>
        <v>0</v>
      </c>
    </row>
    <row r="288" spans="1:3" ht="24.75" customHeight="1" hidden="1">
      <c r="A288" s="5" t="s">
        <v>55</v>
      </c>
      <c r="B288" s="34" t="s">
        <v>158</v>
      </c>
      <c r="C288" s="399"/>
    </row>
    <row r="289" spans="1:3" ht="24.75" customHeight="1" hidden="1">
      <c r="A289" s="5" t="s">
        <v>56</v>
      </c>
      <c r="B289" s="34" t="s">
        <v>159</v>
      </c>
      <c r="C289" s="399"/>
    </row>
    <row r="290" spans="1:3" ht="24.75" customHeight="1" hidden="1">
      <c r="A290" s="395" t="s">
        <v>57</v>
      </c>
      <c r="B290" s="396" t="s">
        <v>149</v>
      </c>
      <c r="C290" s="398">
        <f>SUM(C291:C293)</f>
        <v>0</v>
      </c>
    </row>
    <row r="291" spans="1:3" ht="24.75" customHeight="1" hidden="1">
      <c r="A291" s="5" t="s">
        <v>160</v>
      </c>
      <c r="B291" s="37" t="s">
        <v>161</v>
      </c>
      <c r="C291" s="399"/>
    </row>
    <row r="292" spans="1:3" ht="24.75" customHeight="1" hidden="1">
      <c r="A292" s="5" t="s">
        <v>162</v>
      </c>
      <c r="B292" s="34" t="s">
        <v>163</v>
      </c>
      <c r="C292" s="399"/>
    </row>
    <row r="293" spans="1:3" ht="24.75" customHeight="1" hidden="1">
      <c r="A293" s="5" t="s">
        <v>164</v>
      </c>
      <c r="B293" s="34" t="s">
        <v>165</v>
      </c>
      <c r="C293" s="399"/>
    </row>
    <row r="294" spans="1:3" ht="24.75" customHeight="1" hidden="1">
      <c r="A294" s="395" t="s">
        <v>72</v>
      </c>
      <c r="B294" s="396" t="s">
        <v>346</v>
      </c>
      <c r="C294" s="398">
        <f>SUM(C295:C300)</f>
        <v>0</v>
      </c>
    </row>
    <row r="295" spans="1:3" ht="24.75" customHeight="1" hidden="1">
      <c r="A295" s="5" t="s">
        <v>166</v>
      </c>
      <c r="B295" s="34" t="s">
        <v>167</v>
      </c>
      <c r="C295" s="399"/>
    </row>
    <row r="296" spans="1:3" ht="24.75" customHeight="1" hidden="1">
      <c r="A296" s="5" t="s">
        <v>168</v>
      </c>
      <c r="B296" s="34" t="s">
        <v>169</v>
      </c>
      <c r="C296" s="399"/>
    </row>
    <row r="297" spans="1:3" ht="24.75" customHeight="1" hidden="1">
      <c r="A297" s="5" t="s">
        <v>170</v>
      </c>
      <c r="B297" s="34" t="s">
        <v>171</v>
      </c>
      <c r="C297" s="399"/>
    </row>
    <row r="298" spans="1:3" ht="24.75" customHeight="1" hidden="1">
      <c r="A298" s="5" t="s">
        <v>172</v>
      </c>
      <c r="B298" s="34" t="s">
        <v>155</v>
      </c>
      <c r="C298" s="399"/>
    </row>
    <row r="299" spans="1:3" ht="24.75" customHeight="1" hidden="1">
      <c r="A299" s="5" t="s">
        <v>173</v>
      </c>
      <c r="B299" s="34" t="s">
        <v>156</v>
      </c>
      <c r="C299" s="399"/>
    </row>
    <row r="300" spans="1:3" ht="24.75" customHeight="1" hidden="1">
      <c r="A300" s="5" t="s">
        <v>174</v>
      </c>
      <c r="B300" s="34" t="s">
        <v>175</v>
      </c>
      <c r="C300" s="399"/>
    </row>
    <row r="301" spans="1:3" ht="24.75" customHeight="1" hidden="1">
      <c r="A301" s="395" t="s">
        <v>73</v>
      </c>
      <c r="B301" s="396" t="s">
        <v>348</v>
      </c>
      <c r="C301" s="398">
        <f>SUM(C302:C304)</f>
        <v>11</v>
      </c>
    </row>
    <row r="302" spans="1:3" ht="24.75" customHeight="1" hidden="1">
      <c r="A302" s="5" t="s">
        <v>176</v>
      </c>
      <c r="B302" s="34" t="s">
        <v>167</v>
      </c>
      <c r="C302" s="399">
        <v>9</v>
      </c>
    </row>
    <row r="303" spans="1:3" ht="24.75" customHeight="1" hidden="1">
      <c r="A303" s="5" t="s">
        <v>177</v>
      </c>
      <c r="B303" s="34" t="s">
        <v>169</v>
      </c>
      <c r="C303" s="399">
        <v>0</v>
      </c>
    </row>
    <row r="304" spans="1:3" ht="24.75" customHeight="1" hidden="1">
      <c r="A304" s="5" t="s">
        <v>178</v>
      </c>
      <c r="B304" s="34" t="s">
        <v>179</v>
      </c>
      <c r="C304" s="399">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509" t="s">
        <v>181</v>
      </c>
      <c r="B315" s="1510"/>
      <c r="C315" s="1510"/>
    </row>
    <row r="316" spans="1:3" ht="18.75" hidden="1">
      <c r="A316" s="1507" t="s">
        <v>69</v>
      </c>
      <c r="B316" s="1508"/>
      <c r="C316" s="387" t="s">
        <v>339</v>
      </c>
    </row>
    <row r="317" spans="1:3" ht="15.75" hidden="1">
      <c r="A317" s="1505" t="s">
        <v>6</v>
      </c>
      <c r="B317" s="1506"/>
      <c r="C317" s="397">
        <v>1</v>
      </c>
    </row>
    <row r="318" spans="1:3" ht="24.75" customHeight="1" hidden="1">
      <c r="A318" s="395" t="s">
        <v>51</v>
      </c>
      <c r="B318" s="396" t="s">
        <v>347</v>
      </c>
      <c r="C318" s="398">
        <f>SUM(C319:C324)</f>
        <v>0</v>
      </c>
    </row>
    <row r="319" spans="1:3" ht="24.75" customHeight="1" hidden="1">
      <c r="A319" s="5" t="s">
        <v>53</v>
      </c>
      <c r="B319" s="34" t="s">
        <v>152</v>
      </c>
      <c r="C319" s="399"/>
    </row>
    <row r="320" spans="1:3" ht="24.75" customHeight="1" hidden="1">
      <c r="A320" s="5" t="s">
        <v>54</v>
      </c>
      <c r="B320" s="34" t="s">
        <v>153</v>
      </c>
      <c r="C320" s="399"/>
    </row>
    <row r="321" spans="1:3" ht="24.75" customHeight="1" hidden="1">
      <c r="A321" s="5" t="s">
        <v>140</v>
      </c>
      <c r="B321" s="34" t="s">
        <v>154</v>
      </c>
      <c r="C321" s="399"/>
    </row>
    <row r="322" spans="1:3" ht="24.75" customHeight="1" hidden="1">
      <c r="A322" s="5" t="s">
        <v>142</v>
      </c>
      <c r="B322" s="34" t="s">
        <v>155</v>
      </c>
      <c r="C322" s="399"/>
    </row>
    <row r="323" spans="1:3" ht="24.75" customHeight="1" hidden="1">
      <c r="A323" s="5" t="s">
        <v>144</v>
      </c>
      <c r="B323" s="34" t="s">
        <v>156</v>
      </c>
      <c r="C323" s="399"/>
    </row>
    <row r="324" spans="1:3" ht="24.75" customHeight="1" hidden="1">
      <c r="A324" s="5" t="s">
        <v>146</v>
      </c>
      <c r="B324" s="34" t="s">
        <v>157</v>
      </c>
      <c r="C324" s="399"/>
    </row>
    <row r="325" spans="1:3" ht="24.75" customHeight="1" hidden="1">
      <c r="A325" s="395" t="s">
        <v>52</v>
      </c>
      <c r="B325" s="396" t="s">
        <v>345</v>
      </c>
      <c r="C325" s="398">
        <f>SUM(C326:C327)</f>
        <v>0</v>
      </c>
    </row>
    <row r="326" spans="1:3" ht="24.75" customHeight="1" hidden="1">
      <c r="A326" s="5" t="s">
        <v>55</v>
      </c>
      <c r="B326" s="34" t="s">
        <v>158</v>
      </c>
      <c r="C326" s="399"/>
    </row>
    <row r="327" spans="1:3" ht="24.75" customHeight="1" hidden="1">
      <c r="A327" s="5" t="s">
        <v>56</v>
      </c>
      <c r="B327" s="34" t="s">
        <v>159</v>
      </c>
      <c r="C327" s="399"/>
    </row>
    <row r="328" spans="1:3" ht="24.75" customHeight="1" hidden="1">
      <c r="A328" s="395" t="s">
        <v>57</v>
      </c>
      <c r="B328" s="396" t="s">
        <v>149</v>
      </c>
      <c r="C328" s="398">
        <f>SUM(C329:C331)</f>
        <v>0</v>
      </c>
    </row>
    <row r="329" spans="1:3" ht="24.75" customHeight="1" hidden="1">
      <c r="A329" s="5" t="s">
        <v>160</v>
      </c>
      <c r="B329" s="37" t="s">
        <v>161</v>
      </c>
      <c r="C329" s="399"/>
    </row>
    <row r="330" spans="1:3" ht="24.75" customHeight="1" hidden="1">
      <c r="A330" s="5" t="s">
        <v>162</v>
      </c>
      <c r="B330" s="34" t="s">
        <v>163</v>
      </c>
      <c r="C330" s="399"/>
    </row>
    <row r="331" spans="1:3" ht="24.75" customHeight="1" hidden="1">
      <c r="A331" s="5" t="s">
        <v>164</v>
      </c>
      <c r="B331" s="34" t="s">
        <v>165</v>
      </c>
      <c r="C331" s="399"/>
    </row>
    <row r="332" spans="1:3" ht="24.75" customHeight="1" hidden="1">
      <c r="A332" s="395" t="s">
        <v>72</v>
      </c>
      <c r="B332" s="396" t="s">
        <v>346</v>
      </c>
      <c r="C332" s="398">
        <f>SUM(C333:C338)</f>
        <v>0</v>
      </c>
    </row>
    <row r="333" spans="1:3" ht="24.75" customHeight="1" hidden="1">
      <c r="A333" s="5" t="s">
        <v>166</v>
      </c>
      <c r="B333" s="34" t="s">
        <v>167</v>
      </c>
      <c r="C333" s="399"/>
    </row>
    <row r="334" spans="1:3" ht="24.75" customHeight="1" hidden="1">
      <c r="A334" s="5" t="s">
        <v>168</v>
      </c>
      <c r="B334" s="34" t="s">
        <v>169</v>
      </c>
      <c r="C334" s="399"/>
    </row>
    <row r="335" spans="1:3" ht="24.75" customHeight="1" hidden="1">
      <c r="A335" s="5" t="s">
        <v>170</v>
      </c>
      <c r="B335" s="34" t="s">
        <v>171</v>
      </c>
      <c r="C335" s="399"/>
    </row>
    <row r="336" spans="1:3" ht="24.75" customHeight="1" hidden="1">
      <c r="A336" s="5" t="s">
        <v>172</v>
      </c>
      <c r="B336" s="34" t="s">
        <v>155</v>
      </c>
      <c r="C336" s="399"/>
    </row>
    <row r="337" spans="1:3" ht="24.75" customHeight="1" hidden="1">
      <c r="A337" s="5" t="s">
        <v>173</v>
      </c>
      <c r="B337" s="34" t="s">
        <v>156</v>
      </c>
      <c r="C337" s="399"/>
    </row>
    <row r="338" spans="1:3" ht="24.75" customHeight="1" hidden="1">
      <c r="A338" s="5" t="s">
        <v>174</v>
      </c>
      <c r="B338" s="34" t="s">
        <v>175</v>
      </c>
      <c r="C338" s="399"/>
    </row>
    <row r="339" spans="1:3" ht="24.75" customHeight="1" hidden="1">
      <c r="A339" s="395" t="s">
        <v>73</v>
      </c>
      <c r="B339" s="396" t="s">
        <v>348</v>
      </c>
      <c r="C339" s="398">
        <f>SUM(C340:C342)</f>
        <v>16</v>
      </c>
    </row>
    <row r="340" spans="1:3" ht="24.75" customHeight="1" hidden="1">
      <c r="A340" s="5" t="s">
        <v>176</v>
      </c>
      <c r="B340" s="34" t="s">
        <v>167</v>
      </c>
      <c r="C340" s="399">
        <v>16</v>
      </c>
    </row>
    <row r="341" spans="1:3" ht="24.75" customHeight="1" hidden="1">
      <c r="A341" s="5" t="s">
        <v>177</v>
      </c>
      <c r="B341" s="34" t="s">
        <v>169</v>
      </c>
      <c r="C341" s="399"/>
    </row>
    <row r="342" spans="1:3" ht="24.75" customHeight="1" hidden="1">
      <c r="A342" s="5" t="s">
        <v>178</v>
      </c>
      <c r="B342" s="34" t="s">
        <v>179</v>
      </c>
      <c r="C342" s="399"/>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509" t="s">
        <v>181</v>
      </c>
      <c r="B352" s="1510"/>
      <c r="C352" s="1510"/>
    </row>
    <row r="353" spans="1:3" ht="18.75" hidden="1">
      <c r="A353" s="1507" t="s">
        <v>69</v>
      </c>
      <c r="B353" s="1508"/>
      <c r="C353" s="387" t="s">
        <v>339</v>
      </c>
    </row>
    <row r="354" spans="1:3" ht="15.75" hidden="1">
      <c r="A354" s="1505" t="s">
        <v>6</v>
      </c>
      <c r="B354" s="1506"/>
      <c r="C354" s="397">
        <v>1</v>
      </c>
    </row>
    <row r="355" spans="1:3" ht="24.75" customHeight="1" hidden="1">
      <c r="A355" s="395" t="s">
        <v>51</v>
      </c>
      <c r="B355" s="396" t="s">
        <v>347</v>
      </c>
      <c r="C355" s="398">
        <f>SUM(C356:C361)</f>
        <v>2</v>
      </c>
    </row>
    <row r="356" spans="1:3" ht="24.75" customHeight="1" hidden="1">
      <c r="A356" s="5" t="s">
        <v>53</v>
      </c>
      <c r="B356" s="34" t="s">
        <v>152</v>
      </c>
      <c r="C356" s="399">
        <v>2</v>
      </c>
    </row>
    <row r="357" spans="1:3" ht="24.75" customHeight="1" hidden="1">
      <c r="A357" s="5" t="s">
        <v>54</v>
      </c>
      <c r="B357" s="34" t="s">
        <v>153</v>
      </c>
      <c r="C357" s="399">
        <v>0</v>
      </c>
    </row>
    <row r="358" spans="1:3" ht="24.75" customHeight="1" hidden="1">
      <c r="A358" s="5" t="s">
        <v>140</v>
      </c>
      <c r="B358" s="34" t="s">
        <v>154</v>
      </c>
      <c r="C358" s="399">
        <v>0</v>
      </c>
    </row>
    <row r="359" spans="1:3" ht="24.75" customHeight="1" hidden="1">
      <c r="A359" s="5" t="s">
        <v>142</v>
      </c>
      <c r="B359" s="34" t="s">
        <v>155</v>
      </c>
      <c r="C359" s="399">
        <v>0</v>
      </c>
    </row>
    <row r="360" spans="1:3" ht="24.75" customHeight="1" hidden="1">
      <c r="A360" s="5" t="s">
        <v>144</v>
      </c>
      <c r="B360" s="34" t="s">
        <v>156</v>
      </c>
      <c r="C360" s="399">
        <v>0</v>
      </c>
    </row>
    <row r="361" spans="1:3" ht="24.75" customHeight="1" hidden="1">
      <c r="A361" s="5" t="s">
        <v>146</v>
      </c>
      <c r="B361" s="34" t="s">
        <v>157</v>
      </c>
      <c r="C361" s="399">
        <v>0</v>
      </c>
    </row>
    <row r="362" spans="1:3" ht="24.75" customHeight="1" hidden="1">
      <c r="A362" s="395" t="s">
        <v>52</v>
      </c>
      <c r="B362" s="396" t="s">
        <v>345</v>
      </c>
      <c r="C362" s="398">
        <f>SUM(C363:C364)</f>
        <v>0</v>
      </c>
    </row>
    <row r="363" spans="1:3" ht="24.75" customHeight="1" hidden="1">
      <c r="A363" s="5" t="s">
        <v>55</v>
      </c>
      <c r="B363" s="34" t="s">
        <v>158</v>
      </c>
      <c r="C363" s="399"/>
    </row>
    <row r="364" spans="1:3" ht="24.75" customHeight="1" hidden="1">
      <c r="A364" s="5" t="s">
        <v>56</v>
      </c>
      <c r="B364" s="34" t="s">
        <v>159</v>
      </c>
      <c r="C364" s="399"/>
    </row>
    <row r="365" spans="1:3" ht="24.75" customHeight="1" hidden="1">
      <c r="A365" s="395" t="s">
        <v>57</v>
      </c>
      <c r="B365" s="396" t="s">
        <v>149</v>
      </c>
      <c r="C365" s="398">
        <f>SUM(C366:C368)</f>
        <v>10</v>
      </c>
    </row>
    <row r="366" spans="1:3" ht="24.75" customHeight="1" hidden="1">
      <c r="A366" s="5" t="s">
        <v>160</v>
      </c>
      <c r="B366" s="37" t="s">
        <v>161</v>
      </c>
      <c r="C366" s="399">
        <v>0</v>
      </c>
    </row>
    <row r="367" spans="1:3" ht="24.75" customHeight="1" hidden="1">
      <c r="A367" s="5" t="s">
        <v>162</v>
      </c>
      <c r="B367" s="34" t="s">
        <v>163</v>
      </c>
      <c r="C367" s="399">
        <v>10</v>
      </c>
    </row>
    <row r="368" spans="1:3" ht="24.75" customHeight="1" hidden="1">
      <c r="A368" s="5" t="s">
        <v>164</v>
      </c>
      <c r="B368" s="34" t="s">
        <v>165</v>
      </c>
      <c r="C368" s="399">
        <v>0</v>
      </c>
    </row>
    <row r="369" spans="1:3" ht="24.75" customHeight="1" hidden="1">
      <c r="A369" s="395" t="s">
        <v>72</v>
      </c>
      <c r="B369" s="396" t="s">
        <v>346</v>
      </c>
      <c r="C369" s="398">
        <f>SUM(C370:C375)</f>
        <v>0</v>
      </c>
    </row>
    <row r="370" spans="1:3" ht="24.75" customHeight="1" hidden="1">
      <c r="A370" s="5" t="s">
        <v>166</v>
      </c>
      <c r="B370" s="34" t="s">
        <v>167</v>
      </c>
      <c r="C370" s="399"/>
    </row>
    <row r="371" spans="1:3" ht="24.75" customHeight="1" hidden="1">
      <c r="A371" s="5" t="s">
        <v>168</v>
      </c>
      <c r="B371" s="34" t="s">
        <v>169</v>
      </c>
      <c r="C371" s="399"/>
    </row>
    <row r="372" spans="1:3" ht="24.75" customHeight="1" hidden="1">
      <c r="A372" s="5" t="s">
        <v>170</v>
      </c>
      <c r="B372" s="34" t="s">
        <v>171</v>
      </c>
      <c r="C372" s="399"/>
    </row>
    <row r="373" spans="1:3" ht="24.75" customHeight="1" hidden="1">
      <c r="A373" s="5" t="s">
        <v>172</v>
      </c>
      <c r="B373" s="34" t="s">
        <v>155</v>
      </c>
      <c r="C373" s="399"/>
    </row>
    <row r="374" spans="1:3" ht="24.75" customHeight="1" hidden="1">
      <c r="A374" s="5" t="s">
        <v>173</v>
      </c>
      <c r="B374" s="34" t="s">
        <v>156</v>
      </c>
      <c r="C374" s="399"/>
    </row>
    <row r="375" spans="1:3" ht="24.75" customHeight="1" hidden="1">
      <c r="A375" s="5" t="s">
        <v>174</v>
      </c>
      <c r="B375" s="34" t="s">
        <v>175</v>
      </c>
      <c r="C375" s="399"/>
    </row>
    <row r="376" spans="1:3" ht="24.75" customHeight="1" hidden="1">
      <c r="A376" s="395" t="s">
        <v>73</v>
      </c>
      <c r="B376" s="396" t="s">
        <v>348</v>
      </c>
      <c r="C376" s="398">
        <f>SUM(C377:C379)</f>
        <v>30</v>
      </c>
    </row>
    <row r="377" spans="1:3" ht="24.75" customHeight="1" hidden="1">
      <c r="A377" s="5" t="s">
        <v>176</v>
      </c>
      <c r="B377" s="34" t="s">
        <v>167</v>
      </c>
      <c r="C377" s="399">
        <v>30</v>
      </c>
    </row>
    <row r="378" spans="1:3" ht="24.75" customHeight="1" hidden="1">
      <c r="A378" s="5" t="s">
        <v>177</v>
      </c>
      <c r="B378" s="34" t="s">
        <v>169</v>
      </c>
      <c r="C378" s="399">
        <v>0</v>
      </c>
    </row>
    <row r="379" spans="1:3" ht="24.75" customHeight="1" hidden="1">
      <c r="A379" s="5" t="s">
        <v>178</v>
      </c>
      <c r="B379" s="34" t="s">
        <v>179</v>
      </c>
      <c r="C379" s="399">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509" t="s">
        <v>181</v>
      </c>
      <c r="B394" s="1510"/>
      <c r="C394" s="1510"/>
    </row>
    <row r="395" spans="1:3" ht="18.75" hidden="1">
      <c r="A395" s="1507" t="s">
        <v>69</v>
      </c>
      <c r="B395" s="1508"/>
      <c r="C395" s="387" t="s">
        <v>339</v>
      </c>
    </row>
    <row r="396" spans="1:3" ht="15.75" hidden="1">
      <c r="A396" s="1505" t="s">
        <v>6</v>
      </c>
      <c r="B396" s="1506"/>
      <c r="C396" s="397">
        <v>1</v>
      </c>
    </row>
    <row r="397" spans="1:3" ht="24.75" customHeight="1" hidden="1">
      <c r="A397" s="395" t="s">
        <v>51</v>
      </c>
      <c r="B397" s="396" t="s">
        <v>347</v>
      </c>
      <c r="C397" s="398">
        <f>SUM(C398:C403)</f>
        <v>0</v>
      </c>
    </row>
    <row r="398" spans="1:3" ht="24.75" customHeight="1" hidden="1">
      <c r="A398" s="5" t="s">
        <v>53</v>
      </c>
      <c r="B398" s="34" t="s">
        <v>152</v>
      </c>
      <c r="C398" s="399"/>
    </row>
    <row r="399" spans="1:3" ht="24.75" customHeight="1" hidden="1">
      <c r="A399" s="5" t="s">
        <v>54</v>
      </c>
      <c r="B399" s="34" t="s">
        <v>153</v>
      </c>
      <c r="C399" s="399"/>
    </row>
    <row r="400" spans="1:3" ht="24.75" customHeight="1" hidden="1">
      <c r="A400" s="5" t="s">
        <v>140</v>
      </c>
      <c r="B400" s="34" t="s">
        <v>154</v>
      </c>
      <c r="C400" s="399"/>
    </row>
    <row r="401" spans="1:3" ht="24.75" customHeight="1" hidden="1">
      <c r="A401" s="5" t="s">
        <v>142</v>
      </c>
      <c r="B401" s="34" t="s">
        <v>155</v>
      </c>
      <c r="C401" s="399"/>
    </row>
    <row r="402" spans="1:3" ht="24.75" customHeight="1" hidden="1">
      <c r="A402" s="5" t="s">
        <v>144</v>
      </c>
      <c r="B402" s="34" t="s">
        <v>156</v>
      </c>
      <c r="C402" s="399"/>
    </row>
    <row r="403" spans="1:3" ht="24.75" customHeight="1" hidden="1">
      <c r="A403" s="5" t="s">
        <v>146</v>
      </c>
      <c r="B403" s="34" t="s">
        <v>157</v>
      </c>
      <c r="C403" s="399"/>
    </row>
    <row r="404" spans="1:3" ht="24.75" customHeight="1" hidden="1">
      <c r="A404" s="395" t="s">
        <v>52</v>
      </c>
      <c r="B404" s="396" t="s">
        <v>345</v>
      </c>
      <c r="C404" s="398">
        <f>SUM(C405:C406)</f>
        <v>0</v>
      </c>
    </row>
    <row r="405" spans="1:3" ht="24.75" customHeight="1" hidden="1">
      <c r="A405" s="5" t="s">
        <v>55</v>
      </c>
      <c r="B405" s="34" t="s">
        <v>158</v>
      </c>
      <c r="C405" s="399"/>
    </row>
    <row r="406" spans="1:3" ht="24.75" customHeight="1" hidden="1">
      <c r="A406" s="5" t="s">
        <v>56</v>
      </c>
      <c r="B406" s="34" t="s">
        <v>159</v>
      </c>
      <c r="C406" s="399"/>
    </row>
    <row r="407" spans="1:3" ht="24.75" customHeight="1" hidden="1">
      <c r="A407" s="395" t="s">
        <v>57</v>
      </c>
      <c r="B407" s="396" t="s">
        <v>149</v>
      </c>
      <c r="C407" s="398">
        <f>SUM(C408:C410)</f>
        <v>0</v>
      </c>
    </row>
    <row r="408" spans="1:3" ht="24.75" customHeight="1" hidden="1">
      <c r="A408" s="5" t="s">
        <v>160</v>
      </c>
      <c r="B408" s="37" t="s">
        <v>161</v>
      </c>
      <c r="C408" s="399"/>
    </row>
    <row r="409" spans="1:3" ht="24.75" customHeight="1" hidden="1">
      <c r="A409" s="5" t="s">
        <v>162</v>
      </c>
      <c r="B409" s="34" t="s">
        <v>163</v>
      </c>
      <c r="C409" s="399"/>
    </row>
    <row r="410" spans="1:3" ht="24.75" customHeight="1" hidden="1">
      <c r="A410" s="5" t="s">
        <v>164</v>
      </c>
      <c r="B410" s="34" t="s">
        <v>165</v>
      </c>
      <c r="C410" s="399"/>
    </row>
    <row r="411" spans="1:3" ht="24.75" customHeight="1" hidden="1">
      <c r="A411" s="395" t="s">
        <v>72</v>
      </c>
      <c r="B411" s="396" t="s">
        <v>346</v>
      </c>
      <c r="C411" s="398">
        <f>SUM(C412:C417)</f>
        <v>0</v>
      </c>
    </row>
    <row r="412" spans="1:3" ht="24.75" customHeight="1" hidden="1">
      <c r="A412" s="5" t="s">
        <v>166</v>
      </c>
      <c r="B412" s="34" t="s">
        <v>167</v>
      </c>
      <c r="C412" s="399"/>
    </row>
    <row r="413" spans="1:3" ht="24.75" customHeight="1" hidden="1">
      <c r="A413" s="5" t="s">
        <v>168</v>
      </c>
      <c r="B413" s="34" t="s">
        <v>169</v>
      </c>
      <c r="C413" s="399"/>
    </row>
    <row r="414" spans="1:3" ht="24.75" customHeight="1" hidden="1">
      <c r="A414" s="5" t="s">
        <v>170</v>
      </c>
      <c r="B414" s="34" t="s">
        <v>171</v>
      </c>
      <c r="C414" s="399"/>
    </row>
    <row r="415" spans="1:3" ht="24.75" customHeight="1" hidden="1">
      <c r="A415" s="5" t="s">
        <v>172</v>
      </c>
      <c r="B415" s="34" t="s">
        <v>155</v>
      </c>
      <c r="C415" s="399"/>
    </row>
    <row r="416" spans="1:3" ht="24.75" customHeight="1" hidden="1">
      <c r="A416" s="5" t="s">
        <v>173</v>
      </c>
      <c r="B416" s="34" t="s">
        <v>156</v>
      </c>
      <c r="C416" s="399"/>
    </row>
    <row r="417" spans="1:3" ht="24.75" customHeight="1" hidden="1">
      <c r="A417" s="5" t="s">
        <v>174</v>
      </c>
      <c r="B417" s="34" t="s">
        <v>175</v>
      </c>
      <c r="C417" s="399"/>
    </row>
    <row r="418" spans="1:3" ht="24.75" customHeight="1" hidden="1">
      <c r="A418" s="395" t="s">
        <v>73</v>
      </c>
      <c r="B418" s="396" t="s">
        <v>348</v>
      </c>
      <c r="C418" s="398">
        <f>SUM(C419:C421)</f>
        <v>31</v>
      </c>
    </row>
    <row r="419" spans="1:3" ht="24.75" customHeight="1" hidden="1">
      <c r="A419" s="5" t="s">
        <v>176</v>
      </c>
      <c r="B419" s="34" t="s">
        <v>167</v>
      </c>
      <c r="C419" s="399">
        <v>31</v>
      </c>
    </row>
    <row r="420" spans="1:3" ht="24.75" customHeight="1" hidden="1">
      <c r="A420" s="5" t="s">
        <v>177</v>
      </c>
      <c r="B420" s="34" t="s">
        <v>169</v>
      </c>
      <c r="C420" s="399">
        <v>0</v>
      </c>
    </row>
    <row r="421" spans="1:3" ht="24.75" customHeight="1" hidden="1">
      <c r="A421" s="5" t="s">
        <v>178</v>
      </c>
      <c r="B421" s="34" t="s">
        <v>179</v>
      </c>
      <c r="C421" s="399">
        <v>0</v>
      </c>
    </row>
    <row r="422" ht="15.75" hidden="1"/>
    <row r="423" ht="15.75" hidden="1"/>
    <row r="424" ht="15.75" hidden="1"/>
    <row r="425" ht="15.75" hidden="1"/>
    <row r="426" ht="15.75" hidden="1"/>
    <row r="427" ht="15.75" customHeight="1" hidden="1"/>
    <row r="428" ht="15.75" hidden="1"/>
    <row r="429" ht="15.75" hidden="1"/>
    <row r="430" spans="1:3" ht="16.5" customHeight="1" hidden="1">
      <c r="A430" s="1509" t="s">
        <v>181</v>
      </c>
      <c r="B430" s="1510"/>
      <c r="C430" s="1510"/>
    </row>
    <row r="431" spans="1:3" ht="18.75" hidden="1">
      <c r="A431" s="1507" t="s">
        <v>69</v>
      </c>
      <c r="B431" s="1508"/>
      <c r="C431" s="387" t="s">
        <v>339</v>
      </c>
    </row>
    <row r="432" spans="1:3" ht="15.75" hidden="1">
      <c r="A432" s="1505" t="s">
        <v>6</v>
      </c>
      <c r="B432" s="1506"/>
      <c r="C432" s="397">
        <v>1</v>
      </c>
    </row>
    <row r="433" spans="1:3" ht="24.75" customHeight="1" hidden="1">
      <c r="A433" s="395" t="s">
        <v>51</v>
      </c>
      <c r="B433" s="396" t="s">
        <v>347</v>
      </c>
      <c r="C433" s="398">
        <f>SUM(C434:C439)</f>
        <v>0</v>
      </c>
    </row>
    <row r="434" spans="1:3" ht="24.75" customHeight="1" hidden="1">
      <c r="A434" s="5" t="s">
        <v>53</v>
      </c>
      <c r="B434" s="34" t="s">
        <v>152</v>
      </c>
      <c r="C434" s="399"/>
    </row>
    <row r="435" spans="1:3" ht="24.75" customHeight="1" hidden="1">
      <c r="A435" s="5" t="s">
        <v>54</v>
      </c>
      <c r="B435" s="34" t="s">
        <v>153</v>
      </c>
      <c r="C435" s="399"/>
    </row>
    <row r="436" spans="1:3" ht="24.75" customHeight="1" hidden="1">
      <c r="A436" s="5" t="s">
        <v>140</v>
      </c>
      <c r="B436" s="34" t="s">
        <v>154</v>
      </c>
      <c r="C436" s="399"/>
    </row>
    <row r="437" spans="1:3" ht="24.75" customHeight="1" hidden="1">
      <c r="A437" s="5" t="s">
        <v>142</v>
      </c>
      <c r="B437" s="34" t="s">
        <v>155</v>
      </c>
      <c r="C437" s="399"/>
    </row>
    <row r="438" spans="1:3" ht="24.75" customHeight="1" hidden="1">
      <c r="A438" s="5" t="s">
        <v>144</v>
      </c>
      <c r="B438" s="34" t="s">
        <v>156</v>
      </c>
      <c r="C438" s="399"/>
    </row>
    <row r="439" spans="1:3" ht="24.75" customHeight="1" hidden="1">
      <c r="A439" s="5" t="s">
        <v>146</v>
      </c>
      <c r="B439" s="34" t="s">
        <v>157</v>
      </c>
      <c r="C439" s="399"/>
    </row>
    <row r="440" spans="1:3" ht="24.75" customHeight="1" hidden="1">
      <c r="A440" s="395" t="s">
        <v>52</v>
      </c>
      <c r="B440" s="396" t="s">
        <v>345</v>
      </c>
      <c r="C440" s="398">
        <f>SUM(C441:C442)</f>
        <v>0</v>
      </c>
    </row>
    <row r="441" spans="1:3" ht="24.75" customHeight="1" hidden="1">
      <c r="A441" s="5" t="s">
        <v>55</v>
      </c>
      <c r="B441" s="34" t="s">
        <v>158</v>
      </c>
      <c r="C441" s="399"/>
    </row>
    <row r="442" spans="1:3" ht="24.75" customHeight="1" hidden="1">
      <c r="A442" s="5" t="s">
        <v>56</v>
      </c>
      <c r="B442" s="34" t="s">
        <v>159</v>
      </c>
      <c r="C442" s="399"/>
    </row>
    <row r="443" spans="1:3" ht="24.75" customHeight="1" hidden="1">
      <c r="A443" s="395" t="s">
        <v>57</v>
      </c>
      <c r="B443" s="396" t="s">
        <v>149</v>
      </c>
      <c r="C443" s="398">
        <f>SUM(C444:C446)</f>
        <v>0</v>
      </c>
    </row>
    <row r="444" spans="1:3" ht="24.75" customHeight="1" hidden="1">
      <c r="A444" s="5" t="s">
        <v>160</v>
      </c>
      <c r="B444" s="37" t="s">
        <v>161</v>
      </c>
      <c r="C444" s="399"/>
    </row>
    <row r="445" spans="1:3" ht="24.75" customHeight="1" hidden="1">
      <c r="A445" s="5" t="s">
        <v>162</v>
      </c>
      <c r="B445" s="34" t="s">
        <v>163</v>
      </c>
      <c r="C445" s="399"/>
    </row>
    <row r="446" spans="1:3" ht="24.75" customHeight="1" hidden="1">
      <c r="A446" s="5" t="s">
        <v>164</v>
      </c>
      <c r="B446" s="34" t="s">
        <v>165</v>
      </c>
      <c r="C446" s="399"/>
    </row>
    <row r="447" spans="1:3" ht="24.75" customHeight="1" hidden="1">
      <c r="A447" s="395" t="s">
        <v>72</v>
      </c>
      <c r="B447" s="396" t="s">
        <v>346</v>
      </c>
      <c r="C447" s="398">
        <f>SUM(C448:C453)</f>
        <v>0</v>
      </c>
    </row>
    <row r="448" spans="1:3" ht="24.75" customHeight="1" hidden="1">
      <c r="A448" s="5" t="s">
        <v>166</v>
      </c>
      <c r="B448" s="34" t="s">
        <v>167</v>
      </c>
      <c r="C448" s="399"/>
    </row>
    <row r="449" spans="1:3" ht="24.75" customHeight="1" hidden="1">
      <c r="A449" s="5" t="s">
        <v>168</v>
      </c>
      <c r="B449" s="34" t="s">
        <v>169</v>
      </c>
      <c r="C449" s="399"/>
    </row>
    <row r="450" spans="1:3" ht="24.75" customHeight="1" hidden="1">
      <c r="A450" s="5" t="s">
        <v>170</v>
      </c>
      <c r="B450" s="34" t="s">
        <v>171</v>
      </c>
      <c r="C450" s="399"/>
    </row>
    <row r="451" spans="1:3" ht="24.75" customHeight="1" hidden="1">
      <c r="A451" s="5" t="s">
        <v>172</v>
      </c>
      <c r="B451" s="34" t="s">
        <v>155</v>
      </c>
      <c r="C451" s="399"/>
    </row>
    <row r="452" spans="1:3" ht="24.75" customHeight="1" hidden="1">
      <c r="A452" s="5" t="s">
        <v>173</v>
      </c>
      <c r="B452" s="34" t="s">
        <v>156</v>
      </c>
      <c r="C452" s="399"/>
    </row>
    <row r="453" spans="1:3" ht="24.75" customHeight="1" hidden="1">
      <c r="A453" s="5" t="s">
        <v>174</v>
      </c>
      <c r="B453" s="34" t="s">
        <v>175</v>
      </c>
      <c r="C453" s="399"/>
    </row>
    <row r="454" spans="1:3" ht="24.75" customHeight="1" hidden="1">
      <c r="A454" s="395" t="s">
        <v>73</v>
      </c>
      <c r="B454" s="396" t="s">
        <v>348</v>
      </c>
      <c r="C454" s="398">
        <f>SUM(C455:C457)</f>
        <v>13</v>
      </c>
    </row>
    <row r="455" spans="1:3" ht="24.75" customHeight="1" hidden="1">
      <c r="A455" s="5" t="s">
        <v>176</v>
      </c>
      <c r="B455" s="34" t="s">
        <v>167</v>
      </c>
      <c r="C455" s="399">
        <v>13</v>
      </c>
    </row>
    <row r="456" spans="1:3" ht="24.75" customHeight="1" hidden="1">
      <c r="A456" s="5" t="s">
        <v>177</v>
      </c>
      <c r="B456" s="34" t="s">
        <v>169</v>
      </c>
      <c r="C456" s="399"/>
    </row>
    <row r="457" spans="1:3" ht="15.75" hidden="1">
      <c r="A457" s="5" t="s">
        <v>178</v>
      </c>
      <c r="B457" s="34" t="s">
        <v>179</v>
      </c>
      <c r="C457" s="399"/>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509" t="s">
        <v>181</v>
      </c>
      <c r="B470" s="1510"/>
      <c r="C470" s="1510"/>
    </row>
    <row r="471" spans="1:3" ht="18.75" hidden="1">
      <c r="A471" s="1507" t="s">
        <v>69</v>
      </c>
      <c r="B471" s="1508"/>
      <c r="C471" s="387" t="s">
        <v>339</v>
      </c>
    </row>
    <row r="472" spans="1:3" ht="15.75" hidden="1">
      <c r="A472" s="1505" t="s">
        <v>6</v>
      </c>
      <c r="B472" s="1506"/>
      <c r="C472" s="397">
        <v>1</v>
      </c>
    </row>
    <row r="473" spans="1:3" ht="24.75" customHeight="1" hidden="1">
      <c r="A473" s="395" t="s">
        <v>51</v>
      </c>
      <c r="B473" s="396" t="s">
        <v>347</v>
      </c>
      <c r="C473" s="398">
        <f>SUM(C474:C479)</f>
        <v>0</v>
      </c>
    </row>
    <row r="474" spans="1:3" ht="24.75" customHeight="1" hidden="1">
      <c r="A474" s="5" t="s">
        <v>53</v>
      </c>
      <c r="B474" s="34" t="s">
        <v>152</v>
      </c>
      <c r="C474" s="399"/>
    </row>
    <row r="475" spans="1:3" ht="24.75" customHeight="1" hidden="1">
      <c r="A475" s="5" t="s">
        <v>54</v>
      </c>
      <c r="B475" s="34" t="s">
        <v>153</v>
      </c>
      <c r="C475" s="399"/>
    </row>
    <row r="476" spans="1:3" ht="24.75" customHeight="1" hidden="1">
      <c r="A476" s="5" t="s">
        <v>140</v>
      </c>
      <c r="B476" s="34" t="s">
        <v>154</v>
      </c>
      <c r="C476" s="399"/>
    </row>
    <row r="477" spans="1:3" ht="24.75" customHeight="1" hidden="1">
      <c r="A477" s="5" t="s">
        <v>142</v>
      </c>
      <c r="B477" s="34" t="s">
        <v>155</v>
      </c>
      <c r="C477" s="399"/>
    </row>
    <row r="478" spans="1:3" ht="24.75" customHeight="1" hidden="1">
      <c r="A478" s="5" t="s">
        <v>144</v>
      </c>
      <c r="B478" s="34" t="s">
        <v>156</v>
      </c>
      <c r="C478" s="399"/>
    </row>
    <row r="479" spans="1:3" ht="24.75" customHeight="1" hidden="1">
      <c r="A479" s="5" t="s">
        <v>146</v>
      </c>
      <c r="B479" s="34" t="s">
        <v>157</v>
      </c>
      <c r="C479" s="399"/>
    </row>
    <row r="480" spans="1:3" ht="24.75" customHeight="1" hidden="1">
      <c r="A480" s="395" t="s">
        <v>52</v>
      </c>
      <c r="B480" s="396" t="s">
        <v>345</v>
      </c>
      <c r="C480" s="398">
        <f>SUM(C481:C482)</f>
        <v>1</v>
      </c>
    </row>
    <row r="481" spans="1:3" ht="24.75" customHeight="1" hidden="1">
      <c r="A481" s="5" t="s">
        <v>55</v>
      </c>
      <c r="B481" s="34" t="s">
        <v>158</v>
      </c>
      <c r="C481" s="399">
        <v>1</v>
      </c>
    </row>
    <row r="482" spans="1:3" ht="24.75" customHeight="1" hidden="1">
      <c r="A482" s="5" t="s">
        <v>56</v>
      </c>
      <c r="B482" s="34" t="s">
        <v>159</v>
      </c>
      <c r="C482" s="399">
        <v>0</v>
      </c>
    </row>
    <row r="483" spans="1:3" ht="24.75" customHeight="1" hidden="1">
      <c r="A483" s="395" t="s">
        <v>57</v>
      </c>
      <c r="B483" s="396" t="s">
        <v>149</v>
      </c>
      <c r="C483" s="398">
        <f>SUM(C484:C486)</f>
        <v>0</v>
      </c>
    </row>
    <row r="484" spans="1:3" ht="24.75" customHeight="1" hidden="1">
      <c r="A484" s="5" t="s">
        <v>160</v>
      </c>
      <c r="B484" s="37" t="s">
        <v>161</v>
      </c>
      <c r="C484" s="399"/>
    </row>
    <row r="485" spans="1:3" ht="24.75" customHeight="1" hidden="1">
      <c r="A485" s="5" t="s">
        <v>162</v>
      </c>
      <c r="B485" s="34" t="s">
        <v>163</v>
      </c>
      <c r="C485" s="399"/>
    </row>
    <row r="486" spans="1:3" ht="24.75" customHeight="1" hidden="1">
      <c r="A486" s="5" t="s">
        <v>164</v>
      </c>
      <c r="B486" s="34" t="s">
        <v>165</v>
      </c>
      <c r="C486" s="399"/>
    </row>
    <row r="487" spans="1:3" ht="24.75" customHeight="1" hidden="1">
      <c r="A487" s="395" t="s">
        <v>72</v>
      </c>
      <c r="B487" s="396" t="s">
        <v>346</v>
      </c>
      <c r="C487" s="398">
        <f>SUM(C488:C493)</f>
        <v>0</v>
      </c>
    </row>
    <row r="488" spans="1:3" ht="24.75" customHeight="1" hidden="1">
      <c r="A488" s="5" t="s">
        <v>166</v>
      </c>
      <c r="B488" s="34" t="s">
        <v>167</v>
      </c>
      <c r="C488" s="399"/>
    </row>
    <row r="489" spans="1:3" ht="24.75" customHeight="1" hidden="1">
      <c r="A489" s="5" t="s">
        <v>168</v>
      </c>
      <c r="B489" s="34" t="s">
        <v>169</v>
      </c>
      <c r="C489" s="399"/>
    </row>
    <row r="490" spans="1:3" ht="24.75" customHeight="1" hidden="1">
      <c r="A490" s="5" t="s">
        <v>170</v>
      </c>
      <c r="B490" s="34" t="s">
        <v>171</v>
      </c>
      <c r="C490" s="399"/>
    </row>
    <row r="491" spans="1:3" ht="24.75" customHeight="1" hidden="1">
      <c r="A491" s="5" t="s">
        <v>172</v>
      </c>
      <c r="B491" s="34" t="s">
        <v>155</v>
      </c>
      <c r="C491" s="399"/>
    </row>
    <row r="492" spans="1:3" ht="24.75" customHeight="1" hidden="1">
      <c r="A492" s="5" t="s">
        <v>173</v>
      </c>
      <c r="B492" s="34" t="s">
        <v>156</v>
      </c>
      <c r="C492" s="399"/>
    </row>
    <row r="493" spans="1:3" ht="24.75" customHeight="1" hidden="1">
      <c r="A493" s="5" t="s">
        <v>174</v>
      </c>
      <c r="B493" s="34" t="s">
        <v>175</v>
      </c>
      <c r="C493" s="399"/>
    </row>
    <row r="494" spans="1:3" ht="24.75" customHeight="1" hidden="1">
      <c r="A494" s="395" t="s">
        <v>73</v>
      </c>
      <c r="B494" s="396" t="s">
        <v>348</v>
      </c>
      <c r="C494" s="398">
        <f>SUM(C495:C497)</f>
        <v>11</v>
      </c>
    </row>
    <row r="495" spans="1:3" ht="24.75" customHeight="1" hidden="1">
      <c r="A495" s="5" t="s">
        <v>176</v>
      </c>
      <c r="B495" s="34" t="s">
        <v>167</v>
      </c>
      <c r="C495" s="399">
        <v>11</v>
      </c>
    </row>
    <row r="496" spans="1:3" ht="24.75" customHeight="1" hidden="1">
      <c r="A496" s="5" t="s">
        <v>177</v>
      </c>
      <c r="B496" s="34" t="s">
        <v>169</v>
      </c>
      <c r="C496" s="399">
        <v>0</v>
      </c>
    </row>
    <row r="497" spans="1:3" ht="24.75" customHeight="1" hidden="1">
      <c r="A497" s="5" t="s">
        <v>178</v>
      </c>
      <c r="B497" s="34" t="s">
        <v>179</v>
      </c>
      <c r="C497" s="399">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40">
    <mergeCell ref="B30:C30"/>
    <mergeCell ref="A162:B162"/>
    <mergeCell ref="A238:B238"/>
    <mergeCell ref="A3:B3"/>
    <mergeCell ref="A1:C1"/>
    <mergeCell ref="A2:B2"/>
    <mergeCell ref="A121:B121"/>
    <mergeCell ref="A82:C82"/>
    <mergeCell ref="A44:C44"/>
    <mergeCell ref="A45:B45"/>
    <mergeCell ref="A46:B46"/>
    <mergeCell ref="A83:B83"/>
    <mergeCell ref="A120:C120"/>
    <mergeCell ref="A471:B471"/>
    <mergeCell ref="A352:C352"/>
    <mergeCell ref="A430:C430"/>
    <mergeCell ref="A122:B122"/>
    <mergeCell ref="A160:C160"/>
    <mergeCell ref="A84:B84"/>
    <mergeCell ref="A161:B161"/>
    <mergeCell ref="A278:B278"/>
    <mergeCell ref="A237:C237"/>
    <mergeCell ref="A199:C199"/>
    <mergeCell ref="A354:B354"/>
    <mergeCell ref="A395:B395"/>
    <mergeCell ref="A396:B396"/>
    <mergeCell ref="A394:C394"/>
    <mergeCell ref="A316:B316"/>
    <mergeCell ref="A201:B201"/>
    <mergeCell ref="A200:B200"/>
    <mergeCell ref="A472:B472"/>
    <mergeCell ref="A431:B431"/>
    <mergeCell ref="A432:B432"/>
    <mergeCell ref="A470:C470"/>
    <mergeCell ref="A317:B317"/>
    <mergeCell ref="A239:B239"/>
    <mergeCell ref="A279:B279"/>
    <mergeCell ref="A277:C277"/>
    <mergeCell ref="A315:C315"/>
    <mergeCell ref="A353:B353"/>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19"/>
  <sheetViews>
    <sheetView showZeros="0" zoomScaleSheetLayoutView="85" zoomScalePageLayoutView="0" workbookViewId="0" topLeftCell="A2">
      <selection activeCell="B33" sqref="B33"/>
    </sheetView>
  </sheetViews>
  <sheetFormatPr defaultColWidth="9.00390625" defaultRowHeight="15.75"/>
  <cols>
    <col min="1" max="1" width="4.875" style="435" customWidth="1"/>
    <col min="2" max="2" width="22.625" style="388" customWidth="1"/>
    <col min="3" max="3" width="11.00390625" style="388" customWidth="1"/>
    <col min="4" max="4" width="9.125" style="388" customWidth="1"/>
    <col min="5" max="5" width="10.25390625" style="388" customWidth="1"/>
    <col min="6" max="6" width="7.375" style="388" customWidth="1"/>
    <col min="7" max="7" width="9.50390625" style="388" customWidth="1"/>
    <col min="8" max="13" width="7.375" style="388" customWidth="1"/>
    <col min="14" max="14" width="6.25390625" style="388" customWidth="1"/>
    <col min="15" max="15" width="6.50390625" style="388" customWidth="1"/>
    <col min="16" max="16384" width="9.00390625" style="388" customWidth="1"/>
  </cols>
  <sheetData>
    <row r="1" spans="1:15" ht="21" customHeight="1">
      <c r="A1" s="1502" t="s">
        <v>29</v>
      </c>
      <c r="B1" s="1502"/>
      <c r="C1" s="415"/>
      <c r="D1" s="1503" t="s">
        <v>81</v>
      </c>
      <c r="E1" s="1503"/>
      <c r="F1" s="1503"/>
      <c r="G1" s="1503"/>
      <c r="H1" s="1503"/>
      <c r="I1" s="1503"/>
      <c r="J1" s="1503"/>
      <c r="K1" s="1503"/>
      <c r="L1" s="1494" t="s">
        <v>542</v>
      </c>
      <c r="M1" s="1494"/>
      <c r="N1" s="1494"/>
      <c r="O1" s="1494"/>
    </row>
    <row r="2" spans="1:15" ht="16.5" customHeight="1">
      <c r="A2" s="417" t="s">
        <v>342</v>
      </c>
      <c r="B2" s="417"/>
      <c r="C2" s="417"/>
      <c r="D2" s="1503" t="s">
        <v>182</v>
      </c>
      <c r="E2" s="1503"/>
      <c r="F2" s="1503"/>
      <c r="G2" s="1503"/>
      <c r="H2" s="1503"/>
      <c r="I2" s="1503"/>
      <c r="J2" s="1503"/>
      <c r="K2" s="1503"/>
      <c r="L2" s="1495" t="str">
        <f>'Thong tin'!B4</f>
        <v>Cục THADS tỉnh Tuyên Quang</v>
      </c>
      <c r="M2" s="1495"/>
      <c r="N2" s="1495"/>
      <c r="O2" s="1495"/>
    </row>
    <row r="3" spans="1:15" ht="16.5" customHeight="1">
      <c r="A3" s="417" t="s">
        <v>343</v>
      </c>
      <c r="B3" s="417"/>
      <c r="C3" s="417"/>
      <c r="D3" s="1497" t="str">
        <f>'Thong tin'!B3</f>
        <v>06 tháng / năm 2017</v>
      </c>
      <c r="E3" s="1497"/>
      <c r="F3" s="1497"/>
      <c r="G3" s="1497"/>
      <c r="H3" s="1497"/>
      <c r="I3" s="1497"/>
      <c r="J3" s="1497"/>
      <c r="K3" s="1497"/>
      <c r="L3" s="1494" t="s">
        <v>509</v>
      </c>
      <c r="M3" s="1494"/>
      <c r="N3" s="1494"/>
      <c r="O3" s="1494"/>
    </row>
    <row r="4" spans="1:15" ht="16.5" customHeight="1">
      <c r="A4" s="433" t="s">
        <v>118</v>
      </c>
      <c r="B4" s="433"/>
      <c r="C4" s="420"/>
      <c r="D4" s="421"/>
      <c r="E4" s="421"/>
      <c r="F4" s="420"/>
      <c r="G4" s="422"/>
      <c r="H4" s="422"/>
      <c r="I4" s="422"/>
      <c r="J4" s="420"/>
      <c r="K4" s="421"/>
      <c r="L4" s="1495" t="s">
        <v>410</v>
      </c>
      <c r="M4" s="1495"/>
      <c r="N4" s="1495"/>
      <c r="O4" s="1495"/>
    </row>
    <row r="5" spans="1:15" ht="16.5" customHeight="1">
      <c r="A5" s="423"/>
      <c r="B5" s="420"/>
      <c r="C5" s="420"/>
      <c r="D5" s="420"/>
      <c r="E5" s="420"/>
      <c r="F5" s="424"/>
      <c r="G5" s="425"/>
      <c r="H5" s="425"/>
      <c r="I5" s="425"/>
      <c r="J5" s="424"/>
      <c r="K5" s="426"/>
      <c r="L5" s="437"/>
      <c r="M5" s="437" t="s">
        <v>8</v>
      </c>
      <c r="N5" s="416"/>
      <c r="O5" s="416"/>
    </row>
    <row r="6" spans="1:15" ht="18.75" customHeight="1">
      <c r="A6" s="1501" t="s">
        <v>68</v>
      </c>
      <c r="B6" s="1501"/>
      <c r="C6" s="1501" t="s">
        <v>37</v>
      </c>
      <c r="D6" s="1501" t="s">
        <v>335</v>
      </c>
      <c r="E6" s="1501"/>
      <c r="F6" s="1501"/>
      <c r="G6" s="1501"/>
      <c r="H6" s="1501"/>
      <c r="I6" s="1501"/>
      <c r="J6" s="1501"/>
      <c r="K6" s="1501"/>
      <c r="L6" s="1501"/>
      <c r="M6" s="1501"/>
      <c r="N6" s="1501"/>
      <c r="O6" s="1501"/>
    </row>
    <row r="7" spans="1:15" ht="20.25" customHeight="1">
      <c r="A7" s="1501"/>
      <c r="B7" s="1501"/>
      <c r="C7" s="1501"/>
      <c r="D7" s="1518" t="s">
        <v>119</v>
      </c>
      <c r="E7" s="1516" t="s">
        <v>120</v>
      </c>
      <c r="F7" s="1516"/>
      <c r="G7" s="1516"/>
      <c r="H7" s="1516" t="s">
        <v>121</v>
      </c>
      <c r="I7" s="1516" t="s">
        <v>122</v>
      </c>
      <c r="J7" s="1516" t="s">
        <v>123</v>
      </c>
      <c r="K7" s="1516" t="s">
        <v>124</v>
      </c>
      <c r="L7" s="1516" t="s">
        <v>125</v>
      </c>
      <c r="M7" s="1516" t="s">
        <v>126</v>
      </c>
      <c r="N7" s="1516" t="s">
        <v>183</v>
      </c>
      <c r="O7" s="1516" t="s">
        <v>127</v>
      </c>
    </row>
    <row r="8" spans="1:15" ht="19.5" customHeight="1">
      <c r="A8" s="1501"/>
      <c r="B8" s="1501"/>
      <c r="C8" s="1501"/>
      <c r="D8" s="1518"/>
      <c r="E8" s="1516" t="s">
        <v>36</v>
      </c>
      <c r="F8" s="1516" t="s">
        <v>7</v>
      </c>
      <c r="G8" s="1516"/>
      <c r="H8" s="1516"/>
      <c r="I8" s="1516"/>
      <c r="J8" s="1516"/>
      <c r="K8" s="1516"/>
      <c r="L8" s="1516"/>
      <c r="M8" s="1516"/>
      <c r="N8" s="1516"/>
      <c r="O8" s="1516"/>
    </row>
    <row r="9" spans="1:15" ht="39.75" customHeight="1">
      <c r="A9" s="1501"/>
      <c r="B9" s="1501"/>
      <c r="C9" s="1501"/>
      <c r="D9" s="1518"/>
      <c r="E9" s="1516"/>
      <c r="F9" s="560" t="s">
        <v>128</v>
      </c>
      <c r="G9" s="560" t="s">
        <v>129</v>
      </c>
      <c r="H9" s="1516"/>
      <c r="I9" s="1516"/>
      <c r="J9" s="1516"/>
      <c r="K9" s="1516"/>
      <c r="L9" s="1516"/>
      <c r="M9" s="1516"/>
      <c r="N9" s="1516"/>
      <c r="O9" s="1516"/>
    </row>
    <row r="10" spans="1:15" s="393" customFormat="1" ht="17.25" customHeight="1">
      <c r="A10" s="1517" t="s">
        <v>39</v>
      </c>
      <c r="B10" s="1517"/>
      <c r="C10" s="517">
        <v>1</v>
      </c>
      <c r="D10" s="517">
        <v>2</v>
      </c>
      <c r="E10" s="517">
        <v>3</v>
      </c>
      <c r="F10" s="517">
        <v>4</v>
      </c>
      <c r="G10" s="517">
        <v>5</v>
      </c>
      <c r="H10" s="517">
        <v>6</v>
      </c>
      <c r="I10" s="517">
        <v>7</v>
      </c>
      <c r="J10" s="517">
        <v>8</v>
      </c>
      <c r="K10" s="517">
        <v>9</v>
      </c>
      <c r="L10" s="517">
        <v>10</v>
      </c>
      <c r="M10" s="517">
        <v>11</v>
      </c>
      <c r="N10" s="517">
        <v>12</v>
      </c>
      <c r="O10" s="517">
        <v>13</v>
      </c>
    </row>
    <row r="11" spans="1:15" ht="22.5" customHeight="1">
      <c r="A11" s="508" t="s">
        <v>0</v>
      </c>
      <c r="B11" s="438" t="s">
        <v>130</v>
      </c>
      <c r="C11" s="806">
        <f aca="true" t="shared" si="0" ref="C11:C17">SUM(D11,E11,H11:O11)</f>
        <v>786</v>
      </c>
      <c r="D11" s="814">
        <f>SUM(D12:D13)</f>
        <v>413</v>
      </c>
      <c r="E11" s="814">
        <f>SUM(E12:E13)</f>
        <v>211</v>
      </c>
      <c r="F11" s="814">
        <f>SUM(F12:F13)</f>
        <v>0</v>
      </c>
      <c r="G11" s="814">
        <f aca="true" t="shared" si="1" ref="G11:O11">SUM(G12:G13)</f>
        <v>211</v>
      </c>
      <c r="H11" s="814">
        <f t="shared" si="1"/>
        <v>0</v>
      </c>
      <c r="I11" s="814">
        <f t="shared" si="1"/>
        <v>151</v>
      </c>
      <c r="J11" s="814">
        <f t="shared" si="1"/>
        <v>8</v>
      </c>
      <c r="K11" s="814">
        <f>SUM(K12:K13)</f>
        <v>3</v>
      </c>
      <c r="L11" s="814">
        <f t="shared" si="1"/>
        <v>0</v>
      </c>
      <c r="M11" s="814">
        <f t="shared" si="1"/>
        <v>0</v>
      </c>
      <c r="N11" s="814">
        <f t="shared" si="1"/>
        <v>0</v>
      </c>
      <c r="O11" s="814">
        <f t="shared" si="1"/>
        <v>0</v>
      </c>
    </row>
    <row r="12" spans="1:15" s="401" customFormat="1" ht="22.5" customHeight="1">
      <c r="A12" s="507">
        <v>1</v>
      </c>
      <c r="B12" s="429" t="s">
        <v>131</v>
      </c>
      <c r="C12" s="843">
        <f>SUM(D12,E12,H12:O12)</f>
        <v>369</v>
      </c>
      <c r="D12" s="842">
        <f>D42+D66+D89+D112+D135+D158+D181+D205</f>
        <v>261</v>
      </c>
      <c r="E12" s="844">
        <f>F12+G12</f>
        <v>45</v>
      </c>
      <c r="F12" s="842">
        <f aca="true" t="shared" si="2" ref="F12:O12">F42+F66+F89+F112+F135+F158+F181+F205</f>
        <v>0</v>
      </c>
      <c r="G12" s="842">
        <f t="shared" si="2"/>
        <v>45</v>
      </c>
      <c r="H12" s="842">
        <f t="shared" si="2"/>
        <v>0</v>
      </c>
      <c r="I12" s="842">
        <f t="shared" si="2"/>
        <v>57</v>
      </c>
      <c r="J12" s="842">
        <f t="shared" si="2"/>
        <v>3</v>
      </c>
      <c r="K12" s="842">
        <f t="shared" si="2"/>
        <v>3</v>
      </c>
      <c r="L12" s="842">
        <f t="shared" si="2"/>
        <v>0</v>
      </c>
      <c r="M12" s="842">
        <f t="shared" si="2"/>
        <v>0</v>
      </c>
      <c r="N12" s="842">
        <f t="shared" si="2"/>
        <v>0</v>
      </c>
      <c r="O12" s="842">
        <f t="shared" si="2"/>
        <v>0</v>
      </c>
    </row>
    <row r="13" spans="1:15" s="401" customFormat="1" ht="22.5" customHeight="1">
      <c r="A13" s="507">
        <v>2</v>
      </c>
      <c r="B13" s="429" t="s">
        <v>132</v>
      </c>
      <c r="C13" s="843">
        <f>SUM(D13,E13,H13:O13)</f>
        <v>417</v>
      </c>
      <c r="D13" s="842">
        <f>D43+D67+D90+D113+D136+D159+D182+D206</f>
        <v>152</v>
      </c>
      <c r="E13" s="844">
        <f>F13+G13</f>
        <v>166</v>
      </c>
      <c r="F13" s="842">
        <f aca="true" t="shared" si="3" ref="F13:O13">F43+F67+F90+F113+F136+F159+F182+F206</f>
        <v>0</v>
      </c>
      <c r="G13" s="842">
        <f t="shared" si="3"/>
        <v>166</v>
      </c>
      <c r="H13" s="842">
        <f>H43+H67+H90+H113+H136+H159+H182+H206</f>
        <v>0</v>
      </c>
      <c r="I13" s="842">
        <f t="shared" si="3"/>
        <v>94</v>
      </c>
      <c r="J13" s="842">
        <f t="shared" si="3"/>
        <v>5</v>
      </c>
      <c r="K13" s="842">
        <f t="shared" si="3"/>
        <v>0</v>
      </c>
      <c r="L13" s="842">
        <f t="shared" si="3"/>
        <v>0</v>
      </c>
      <c r="M13" s="842">
        <f t="shared" si="3"/>
        <v>0</v>
      </c>
      <c r="N13" s="842">
        <f t="shared" si="3"/>
        <v>0</v>
      </c>
      <c r="O13" s="842">
        <f t="shared" si="3"/>
        <v>0</v>
      </c>
    </row>
    <row r="14" spans="1:15" ht="22.5" customHeight="1">
      <c r="A14" s="508" t="s">
        <v>1</v>
      </c>
      <c r="B14" s="394" t="s">
        <v>133</v>
      </c>
      <c r="C14" s="843">
        <f t="shared" si="0"/>
        <v>13</v>
      </c>
      <c r="D14" s="842">
        <f>D44+D68+D91+D114+D137+D160+D183+D207</f>
        <v>7</v>
      </c>
      <c r="E14" s="844">
        <f>F14+G14</f>
        <v>3</v>
      </c>
      <c r="F14" s="842">
        <f aca="true" t="shared" si="4" ref="F14:O15">F44+F68+F91+F114+F137+F160+F183</f>
        <v>0</v>
      </c>
      <c r="G14" s="842">
        <f t="shared" si="4"/>
        <v>3</v>
      </c>
      <c r="H14" s="842">
        <f t="shared" si="4"/>
        <v>0</v>
      </c>
      <c r="I14" s="842">
        <f t="shared" si="4"/>
        <v>3</v>
      </c>
      <c r="J14" s="842">
        <f t="shared" si="4"/>
        <v>0</v>
      </c>
      <c r="K14" s="842">
        <f t="shared" si="4"/>
        <v>0</v>
      </c>
      <c r="L14" s="842">
        <f t="shared" si="4"/>
        <v>0</v>
      </c>
      <c r="M14" s="842">
        <f t="shared" si="4"/>
        <v>0</v>
      </c>
      <c r="N14" s="842">
        <f t="shared" si="4"/>
        <v>0</v>
      </c>
      <c r="O14" s="842">
        <f t="shared" si="4"/>
        <v>0</v>
      </c>
    </row>
    <row r="15" spans="1:15" ht="22.5" customHeight="1">
      <c r="A15" s="508" t="s">
        <v>9</v>
      </c>
      <c r="B15" s="394" t="s">
        <v>134</v>
      </c>
      <c r="C15" s="843">
        <f>7</f>
        <v>7</v>
      </c>
      <c r="D15" s="842"/>
      <c r="E15" s="844">
        <f>F15+G15</f>
        <v>7</v>
      </c>
      <c r="F15" s="842">
        <f t="shared" si="4"/>
        <v>0</v>
      </c>
      <c r="G15" s="842">
        <f>7</f>
        <v>7</v>
      </c>
      <c r="H15" s="842">
        <f t="shared" si="4"/>
        <v>0</v>
      </c>
      <c r="I15" s="842">
        <f t="shared" si="4"/>
        <v>0</v>
      </c>
      <c r="J15" s="842">
        <f t="shared" si="4"/>
        <v>0</v>
      </c>
      <c r="K15" s="842">
        <f t="shared" si="4"/>
        <v>0</v>
      </c>
      <c r="L15" s="842">
        <f t="shared" si="4"/>
        <v>0</v>
      </c>
      <c r="M15" s="842">
        <f t="shared" si="4"/>
        <v>0</v>
      </c>
      <c r="N15" s="842">
        <f t="shared" si="4"/>
        <v>0</v>
      </c>
      <c r="O15" s="842">
        <f t="shared" si="4"/>
        <v>0</v>
      </c>
    </row>
    <row r="16" spans="1:15" ht="22.5" customHeight="1">
      <c r="A16" s="508" t="s">
        <v>135</v>
      </c>
      <c r="B16" s="394" t="s">
        <v>136</v>
      </c>
      <c r="C16" s="845">
        <f>SUM(D16,E16,H16:O16)</f>
        <v>773</v>
      </c>
      <c r="D16" s="845">
        <f>D11-SUM(D14,D15)</f>
        <v>406</v>
      </c>
      <c r="E16" s="846">
        <f>SUM(F16:G16)</f>
        <v>208</v>
      </c>
      <c r="F16" s="845">
        <f aca="true" t="shared" si="5" ref="F16:O16">F11-SUM(F14,F15)</f>
        <v>0</v>
      </c>
      <c r="G16" s="845">
        <f>G11-SUM(G14)</f>
        <v>208</v>
      </c>
      <c r="H16" s="845">
        <f t="shared" si="5"/>
        <v>0</v>
      </c>
      <c r="I16" s="845">
        <f t="shared" si="5"/>
        <v>148</v>
      </c>
      <c r="J16" s="845">
        <f t="shared" si="5"/>
        <v>8</v>
      </c>
      <c r="K16" s="845">
        <f t="shared" si="5"/>
        <v>3</v>
      </c>
      <c r="L16" s="845">
        <f t="shared" si="5"/>
        <v>0</v>
      </c>
      <c r="M16" s="845">
        <f t="shared" si="5"/>
        <v>0</v>
      </c>
      <c r="N16" s="845">
        <f t="shared" si="5"/>
        <v>0</v>
      </c>
      <c r="O16" s="845">
        <f t="shared" si="5"/>
        <v>0</v>
      </c>
    </row>
    <row r="17" spans="1:15" ht="22.5" customHeight="1">
      <c r="A17" s="508" t="s">
        <v>51</v>
      </c>
      <c r="B17" s="394" t="s">
        <v>137</v>
      </c>
      <c r="C17" s="845">
        <f t="shared" si="0"/>
        <v>534</v>
      </c>
      <c r="D17" s="847">
        <f aca="true" t="shared" si="6" ref="D17:N17">SUM(D18:D24)</f>
        <v>263</v>
      </c>
      <c r="E17" s="846">
        <f aca="true" t="shared" si="7" ref="E17:E24">SUM(F17:G17)</f>
        <v>149</v>
      </c>
      <c r="F17" s="847">
        <f t="shared" si="6"/>
        <v>0</v>
      </c>
      <c r="G17" s="847">
        <f t="shared" si="6"/>
        <v>149</v>
      </c>
      <c r="H17" s="847">
        <f t="shared" si="6"/>
        <v>0</v>
      </c>
      <c r="I17" s="847">
        <f t="shared" si="6"/>
        <v>114</v>
      </c>
      <c r="J17" s="847">
        <f t="shared" si="6"/>
        <v>6</v>
      </c>
      <c r="K17" s="847">
        <f t="shared" si="6"/>
        <v>2</v>
      </c>
      <c r="L17" s="847">
        <f t="shared" si="6"/>
        <v>0</v>
      </c>
      <c r="M17" s="847">
        <f t="shared" si="6"/>
        <v>0</v>
      </c>
      <c r="N17" s="847">
        <f t="shared" si="6"/>
        <v>0</v>
      </c>
      <c r="O17" s="847">
        <f>SUM(O18:O24)</f>
        <v>0</v>
      </c>
    </row>
    <row r="18" spans="1:15" ht="19.5" customHeight="1">
      <c r="A18" s="507" t="s">
        <v>53</v>
      </c>
      <c r="B18" s="429" t="s">
        <v>138</v>
      </c>
      <c r="C18" s="843">
        <f>D18+E18+H18+I18+J18+K18+L18+M18+N18+O18</f>
        <v>137</v>
      </c>
      <c r="D18" s="842">
        <f>D48+D72+D95+D118+D141+D164+D187+D211</f>
        <v>51</v>
      </c>
      <c r="E18" s="848">
        <f>F18+G18</f>
        <v>52</v>
      </c>
      <c r="F18" s="842">
        <f>F48+F72+F95+F118+F141+F164+F187+F211</f>
        <v>0</v>
      </c>
      <c r="G18" s="842">
        <f aca="true" t="shared" si="8" ref="G18:O18">G48+G72+G95+G118+G141+G164+G187+G211</f>
        <v>52</v>
      </c>
      <c r="H18" s="842">
        <f t="shared" si="8"/>
        <v>0</v>
      </c>
      <c r="I18" s="842">
        <f t="shared" si="8"/>
        <v>31</v>
      </c>
      <c r="J18" s="842">
        <f t="shared" si="8"/>
        <v>3</v>
      </c>
      <c r="K18" s="842">
        <f t="shared" si="8"/>
        <v>0</v>
      </c>
      <c r="L18" s="842">
        <f t="shared" si="8"/>
        <v>0</v>
      </c>
      <c r="M18" s="842">
        <f t="shared" si="8"/>
        <v>0</v>
      </c>
      <c r="N18" s="842">
        <f t="shared" si="8"/>
        <v>0</v>
      </c>
      <c r="O18" s="842">
        <f t="shared" si="8"/>
        <v>0</v>
      </c>
    </row>
    <row r="19" spans="1:15" ht="19.5" customHeight="1">
      <c r="A19" s="507" t="s">
        <v>54</v>
      </c>
      <c r="B19" s="429" t="s">
        <v>139</v>
      </c>
      <c r="C19" s="843">
        <f aca="true" t="shared" si="9" ref="C19:C24">D19+E19+H19+I19+J19+K19+L19+M19+N19+O19</f>
        <v>9</v>
      </c>
      <c r="D19" s="842">
        <f aca="true" t="shared" si="10" ref="D19:D24">D49+D73+D96+D119+D142+D165+D188+D212</f>
        <v>9</v>
      </c>
      <c r="E19" s="848">
        <f t="shared" si="7"/>
        <v>0</v>
      </c>
      <c r="F19" s="842">
        <f aca="true" t="shared" si="11" ref="F19:O19">F49+F73+F96+F119+F142+F165+F188+F212</f>
        <v>0</v>
      </c>
      <c r="G19" s="842">
        <f t="shared" si="11"/>
        <v>0</v>
      </c>
      <c r="H19" s="842">
        <f t="shared" si="11"/>
        <v>0</v>
      </c>
      <c r="I19" s="842">
        <f t="shared" si="11"/>
        <v>0</v>
      </c>
      <c r="J19" s="842">
        <f t="shared" si="11"/>
        <v>0</v>
      </c>
      <c r="K19" s="842">
        <f t="shared" si="11"/>
        <v>0</v>
      </c>
      <c r="L19" s="842">
        <f t="shared" si="11"/>
        <v>0</v>
      </c>
      <c r="M19" s="842">
        <f t="shared" si="11"/>
        <v>0</v>
      </c>
      <c r="N19" s="842">
        <f t="shared" si="11"/>
        <v>0</v>
      </c>
      <c r="O19" s="842">
        <f t="shared" si="11"/>
        <v>0</v>
      </c>
    </row>
    <row r="20" spans="1:15" ht="19.5" customHeight="1">
      <c r="A20" s="507" t="s">
        <v>140</v>
      </c>
      <c r="B20" s="429" t="s">
        <v>141</v>
      </c>
      <c r="C20" s="843">
        <f>D20+E20+H20+I20+J20+K20+L20+M20+N20+O20</f>
        <v>355</v>
      </c>
      <c r="D20" s="842">
        <f t="shared" si="10"/>
        <v>171</v>
      </c>
      <c r="E20" s="848">
        <f t="shared" si="7"/>
        <v>97</v>
      </c>
      <c r="F20" s="842">
        <f aca="true" t="shared" si="12" ref="F20:O20">F50+F74+F97+F120+F143+F166+F189+F213</f>
        <v>0</v>
      </c>
      <c r="G20" s="842">
        <f t="shared" si="12"/>
        <v>97</v>
      </c>
      <c r="H20" s="842">
        <f t="shared" si="12"/>
        <v>0</v>
      </c>
      <c r="I20" s="842">
        <f t="shared" si="12"/>
        <v>82</v>
      </c>
      <c r="J20" s="842">
        <f t="shared" si="12"/>
        <v>3</v>
      </c>
      <c r="K20" s="842">
        <f t="shared" si="12"/>
        <v>2</v>
      </c>
      <c r="L20" s="842">
        <f t="shared" si="12"/>
        <v>0</v>
      </c>
      <c r="M20" s="842">
        <f t="shared" si="12"/>
        <v>0</v>
      </c>
      <c r="N20" s="842">
        <f t="shared" si="12"/>
        <v>0</v>
      </c>
      <c r="O20" s="842">
        <f t="shared" si="12"/>
        <v>0</v>
      </c>
    </row>
    <row r="21" spans="1:15" ht="19.5" customHeight="1">
      <c r="A21" s="507" t="s">
        <v>142</v>
      </c>
      <c r="B21" s="429" t="s">
        <v>143</v>
      </c>
      <c r="C21" s="843">
        <f t="shared" si="9"/>
        <v>27</v>
      </c>
      <c r="D21" s="842">
        <f t="shared" si="10"/>
        <v>26</v>
      </c>
      <c r="E21" s="848">
        <f t="shared" si="7"/>
        <v>0</v>
      </c>
      <c r="F21" s="842">
        <f aca="true" t="shared" si="13" ref="F21:O21">F51+F75+F98+F121+F144+F167+F190+F214</f>
        <v>0</v>
      </c>
      <c r="G21" s="842">
        <f t="shared" si="13"/>
        <v>0</v>
      </c>
      <c r="H21" s="842">
        <f t="shared" si="13"/>
        <v>0</v>
      </c>
      <c r="I21" s="842">
        <f t="shared" si="13"/>
        <v>1</v>
      </c>
      <c r="J21" s="842">
        <f t="shared" si="13"/>
        <v>0</v>
      </c>
      <c r="K21" s="842">
        <f t="shared" si="13"/>
        <v>0</v>
      </c>
      <c r="L21" s="842">
        <f t="shared" si="13"/>
        <v>0</v>
      </c>
      <c r="M21" s="842">
        <f t="shared" si="13"/>
        <v>0</v>
      </c>
      <c r="N21" s="842">
        <f t="shared" si="13"/>
        <v>0</v>
      </c>
      <c r="O21" s="842">
        <f t="shared" si="13"/>
        <v>0</v>
      </c>
    </row>
    <row r="22" spans="1:15" ht="19.5" customHeight="1">
      <c r="A22" s="507" t="s">
        <v>144</v>
      </c>
      <c r="B22" s="429" t="s">
        <v>145</v>
      </c>
      <c r="C22" s="843">
        <f t="shared" si="9"/>
        <v>4</v>
      </c>
      <c r="D22" s="842">
        <f t="shared" si="10"/>
        <v>4</v>
      </c>
      <c r="E22" s="848">
        <f t="shared" si="7"/>
        <v>0</v>
      </c>
      <c r="F22" s="842">
        <f aca="true" t="shared" si="14" ref="F22:O22">F52+F76+F99+F122+F145+F168+F191+F215</f>
        <v>0</v>
      </c>
      <c r="G22" s="842">
        <f t="shared" si="14"/>
        <v>0</v>
      </c>
      <c r="H22" s="842">
        <f t="shared" si="14"/>
        <v>0</v>
      </c>
      <c r="I22" s="842">
        <f t="shared" si="14"/>
        <v>0</v>
      </c>
      <c r="J22" s="842">
        <f t="shared" si="14"/>
        <v>0</v>
      </c>
      <c r="K22" s="842">
        <f t="shared" si="14"/>
        <v>0</v>
      </c>
      <c r="L22" s="842">
        <f t="shared" si="14"/>
        <v>0</v>
      </c>
      <c r="M22" s="842">
        <f t="shared" si="14"/>
        <v>0</v>
      </c>
      <c r="N22" s="842">
        <f t="shared" si="14"/>
        <v>0</v>
      </c>
      <c r="O22" s="842">
        <f t="shared" si="14"/>
        <v>0</v>
      </c>
    </row>
    <row r="23" spans="1:15" ht="25.5">
      <c r="A23" s="507" t="s">
        <v>146</v>
      </c>
      <c r="B23" s="431" t="s">
        <v>147</v>
      </c>
      <c r="C23" s="843">
        <f t="shared" si="9"/>
        <v>0</v>
      </c>
      <c r="D23" s="842">
        <f t="shared" si="10"/>
        <v>0</v>
      </c>
      <c r="E23" s="848">
        <f>SUM(F23:G23)</f>
        <v>0</v>
      </c>
      <c r="F23" s="842">
        <f aca="true" t="shared" si="15" ref="F23:O23">F53+F77+F100+F123+F146+F169+F192+F216</f>
        <v>0</v>
      </c>
      <c r="G23" s="842">
        <f t="shared" si="15"/>
        <v>0</v>
      </c>
      <c r="H23" s="842">
        <f t="shared" si="15"/>
        <v>0</v>
      </c>
      <c r="I23" s="842">
        <f t="shared" si="15"/>
        <v>0</v>
      </c>
      <c r="J23" s="842">
        <f t="shared" si="15"/>
        <v>0</v>
      </c>
      <c r="K23" s="842">
        <f t="shared" si="15"/>
        <v>0</v>
      </c>
      <c r="L23" s="842">
        <f t="shared" si="15"/>
        <v>0</v>
      </c>
      <c r="M23" s="842">
        <f t="shared" si="15"/>
        <v>0</v>
      </c>
      <c r="N23" s="842">
        <f t="shared" si="15"/>
        <v>0</v>
      </c>
      <c r="O23" s="842">
        <f t="shared" si="15"/>
        <v>0</v>
      </c>
    </row>
    <row r="24" spans="1:15" ht="19.5" customHeight="1">
      <c r="A24" s="507" t="s">
        <v>148</v>
      </c>
      <c r="B24" s="429" t="s">
        <v>149</v>
      </c>
      <c r="C24" s="843">
        <f t="shared" si="9"/>
        <v>2</v>
      </c>
      <c r="D24" s="842">
        <f t="shared" si="10"/>
        <v>2</v>
      </c>
      <c r="E24" s="848">
        <f t="shared" si="7"/>
        <v>0</v>
      </c>
      <c r="F24" s="842">
        <f aca="true" t="shared" si="16" ref="F24:O24">F54+F78+F101+F124+F147+F170+F193+F217</f>
        <v>0</v>
      </c>
      <c r="G24" s="842">
        <f t="shared" si="16"/>
        <v>0</v>
      </c>
      <c r="H24" s="842">
        <f t="shared" si="16"/>
        <v>0</v>
      </c>
      <c r="I24" s="842">
        <f t="shared" si="16"/>
        <v>0</v>
      </c>
      <c r="J24" s="842">
        <f t="shared" si="16"/>
        <v>0</v>
      </c>
      <c r="K24" s="842">
        <f t="shared" si="16"/>
        <v>0</v>
      </c>
      <c r="L24" s="842">
        <f t="shared" si="16"/>
        <v>0</v>
      </c>
      <c r="M24" s="842">
        <f t="shared" si="16"/>
        <v>0</v>
      </c>
      <c r="N24" s="842">
        <f t="shared" si="16"/>
        <v>0</v>
      </c>
      <c r="O24" s="842">
        <f t="shared" si="16"/>
        <v>0</v>
      </c>
    </row>
    <row r="25" spans="1:15" ht="22.5" customHeight="1">
      <c r="A25" s="508" t="s">
        <v>52</v>
      </c>
      <c r="B25" s="394" t="s">
        <v>150</v>
      </c>
      <c r="C25" s="806">
        <f>C16-C17</f>
        <v>239</v>
      </c>
      <c r="D25" s="806">
        <f>D16-D17</f>
        <v>143</v>
      </c>
      <c r="E25" s="806">
        <f aca="true" t="shared" si="17" ref="E25:O25">E16-E17</f>
        <v>59</v>
      </c>
      <c r="F25" s="806">
        <f t="shared" si="17"/>
        <v>0</v>
      </c>
      <c r="G25" s="806">
        <f t="shared" si="17"/>
        <v>59</v>
      </c>
      <c r="H25" s="806">
        <f t="shared" si="17"/>
        <v>0</v>
      </c>
      <c r="I25" s="806">
        <f t="shared" si="17"/>
        <v>34</v>
      </c>
      <c r="J25" s="806">
        <f t="shared" si="17"/>
        <v>2</v>
      </c>
      <c r="K25" s="806">
        <f t="shared" si="17"/>
        <v>1</v>
      </c>
      <c r="L25" s="806">
        <f t="shared" si="17"/>
        <v>0</v>
      </c>
      <c r="M25" s="806">
        <f t="shared" si="17"/>
        <v>0</v>
      </c>
      <c r="N25" s="806">
        <f t="shared" si="17"/>
        <v>0</v>
      </c>
      <c r="O25" s="806">
        <f t="shared" si="17"/>
        <v>0</v>
      </c>
    </row>
    <row r="26" spans="1:15" ht="32.25" customHeight="1">
      <c r="A26" s="509" t="s">
        <v>540</v>
      </c>
      <c r="B26" s="432" t="s">
        <v>151</v>
      </c>
      <c r="C26" s="516">
        <f>(C18+C19)/C17</f>
        <v>0.27340823970037453</v>
      </c>
      <c r="D26" s="516">
        <f aca="true" t="shared" si="18" ref="D26:O26">(D18+D19)/D17</f>
        <v>0.22813688212927757</v>
      </c>
      <c r="E26" s="516">
        <f t="shared" si="18"/>
        <v>0.348993288590604</v>
      </c>
      <c r="F26" s="516" t="e">
        <f t="shared" si="18"/>
        <v>#DIV/0!</v>
      </c>
      <c r="G26" s="516">
        <f t="shared" si="18"/>
        <v>0.348993288590604</v>
      </c>
      <c r="H26" s="516" t="e">
        <f t="shared" si="18"/>
        <v>#DIV/0!</v>
      </c>
      <c r="I26" s="516">
        <f t="shared" si="18"/>
        <v>0.2719298245614035</v>
      </c>
      <c r="J26" s="516">
        <f t="shared" si="18"/>
        <v>0.5</v>
      </c>
      <c r="K26" s="516">
        <f t="shared" si="18"/>
        <v>0</v>
      </c>
      <c r="L26" s="516" t="e">
        <f t="shared" si="18"/>
        <v>#DIV/0!</v>
      </c>
      <c r="M26" s="516" t="e">
        <f t="shared" si="18"/>
        <v>#DIV/0!</v>
      </c>
      <c r="N26" s="516" t="e">
        <f t="shared" si="18"/>
        <v>#DIV/0!</v>
      </c>
      <c r="O26" s="516" t="e">
        <f t="shared" si="18"/>
        <v>#DIV/0!</v>
      </c>
    </row>
    <row r="29" ht="15.75" customHeight="1"/>
    <row r="30" ht="2.25" customHeight="1" hidden="1"/>
    <row r="31" ht="12" customHeight="1" hidden="1"/>
    <row r="32" ht="15" hidden="1"/>
    <row r="33" ht="15" hidden="1"/>
    <row r="34" ht="15" hidden="1"/>
    <row r="35" ht="15" hidden="1">
      <c r="B35" s="904" t="s">
        <v>737</v>
      </c>
    </row>
    <row r="36" spans="1:15" ht="15" customHeight="1" hidden="1">
      <c r="A36" s="1501" t="s">
        <v>68</v>
      </c>
      <c r="B36" s="1501"/>
      <c r="C36" s="1501" t="s">
        <v>37</v>
      </c>
      <c r="D36" s="1501" t="s">
        <v>335</v>
      </c>
      <c r="E36" s="1501"/>
      <c r="F36" s="1501"/>
      <c r="G36" s="1501"/>
      <c r="H36" s="1501"/>
      <c r="I36" s="1501"/>
      <c r="J36" s="1501"/>
      <c r="K36" s="1501"/>
      <c r="L36" s="1501"/>
      <c r="M36" s="1501"/>
      <c r="N36" s="1501"/>
      <c r="O36" s="1501"/>
    </row>
    <row r="37" spans="1:15" ht="15" customHeight="1" hidden="1">
      <c r="A37" s="1501"/>
      <c r="B37" s="1501"/>
      <c r="C37" s="1501"/>
      <c r="D37" s="1518" t="s">
        <v>119</v>
      </c>
      <c r="E37" s="1516" t="s">
        <v>120</v>
      </c>
      <c r="F37" s="1516"/>
      <c r="G37" s="1516"/>
      <c r="H37" s="1516" t="s">
        <v>121</v>
      </c>
      <c r="I37" s="1516" t="s">
        <v>122</v>
      </c>
      <c r="J37" s="1516" t="s">
        <v>123</v>
      </c>
      <c r="K37" s="1516" t="s">
        <v>124</v>
      </c>
      <c r="L37" s="1516" t="s">
        <v>125</v>
      </c>
      <c r="M37" s="1516" t="s">
        <v>126</v>
      </c>
      <c r="N37" s="1516" t="s">
        <v>183</v>
      </c>
      <c r="O37" s="1516" t="s">
        <v>127</v>
      </c>
    </row>
    <row r="38" spans="1:15" ht="15" hidden="1">
      <c r="A38" s="1501"/>
      <c r="B38" s="1501"/>
      <c r="C38" s="1501"/>
      <c r="D38" s="1518"/>
      <c r="E38" s="1516" t="s">
        <v>36</v>
      </c>
      <c r="F38" s="1516" t="s">
        <v>7</v>
      </c>
      <c r="G38" s="1516"/>
      <c r="H38" s="1516"/>
      <c r="I38" s="1516"/>
      <c r="J38" s="1516"/>
      <c r="K38" s="1516"/>
      <c r="L38" s="1516"/>
      <c r="M38" s="1516"/>
      <c r="N38" s="1516"/>
      <c r="O38" s="1516"/>
    </row>
    <row r="39" spans="1:15" ht="30" hidden="1">
      <c r="A39" s="1501"/>
      <c r="B39" s="1501"/>
      <c r="C39" s="1501"/>
      <c r="D39" s="1518"/>
      <c r="E39" s="1516"/>
      <c r="F39" s="560" t="s">
        <v>128</v>
      </c>
      <c r="G39" s="560" t="s">
        <v>129</v>
      </c>
      <c r="H39" s="1516"/>
      <c r="I39" s="1516"/>
      <c r="J39" s="1516"/>
      <c r="K39" s="1516"/>
      <c r="L39" s="1516"/>
      <c r="M39" s="1516"/>
      <c r="N39" s="1516"/>
      <c r="O39" s="1516"/>
    </row>
    <row r="40" spans="1:15" ht="15" customHeight="1" hidden="1">
      <c r="A40" s="1517" t="s">
        <v>39</v>
      </c>
      <c r="B40" s="1517"/>
      <c r="C40" s="517">
        <v>1</v>
      </c>
      <c r="D40" s="517">
        <v>2</v>
      </c>
      <c r="E40" s="517">
        <v>3</v>
      </c>
      <c r="F40" s="517">
        <v>4</v>
      </c>
      <c r="G40" s="517">
        <v>5</v>
      </c>
      <c r="H40" s="517">
        <v>6</v>
      </c>
      <c r="I40" s="517">
        <v>7</v>
      </c>
      <c r="J40" s="517">
        <v>8</v>
      </c>
      <c r="K40" s="517">
        <v>9</v>
      </c>
      <c r="L40" s="517">
        <v>10</v>
      </c>
      <c r="M40" s="517">
        <v>11</v>
      </c>
      <c r="N40" s="517">
        <v>12</v>
      </c>
      <c r="O40" s="517">
        <v>13</v>
      </c>
    </row>
    <row r="41" spans="1:15" ht="15" hidden="1">
      <c r="A41" s="508" t="s">
        <v>0</v>
      </c>
      <c r="B41" s="438" t="s">
        <v>130</v>
      </c>
      <c r="C41" s="806">
        <f aca="true" t="shared" si="19" ref="C41:C47">SUM(D41,E41,H41:O41)</f>
        <v>137</v>
      </c>
      <c r="D41" s="814">
        <f aca="true" t="shared" si="20" ref="D41:O41">SUM(D42:D43)</f>
        <v>11</v>
      </c>
      <c r="E41" s="814">
        <f t="shared" si="20"/>
        <v>123</v>
      </c>
      <c r="F41" s="814">
        <f t="shared" si="20"/>
        <v>0</v>
      </c>
      <c r="G41" s="814">
        <f t="shared" si="20"/>
        <v>123</v>
      </c>
      <c r="H41" s="814">
        <f t="shared" si="20"/>
        <v>0</v>
      </c>
      <c r="I41" s="814">
        <f t="shared" si="20"/>
        <v>0</v>
      </c>
      <c r="J41" s="814">
        <f t="shared" si="20"/>
        <v>3</v>
      </c>
      <c r="K41" s="814">
        <f t="shared" si="20"/>
        <v>0</v>
      </c>
      <c r="L41" s="814">
        <f t="shared" si="20"/>
        <v>0</v>
      </c>
      <c r="M41" s="814">
        <f t="shared" si="20"/>
        <v>0</v>
      </c>
      <c r="N41" s="814">
        <f t="shared" si="20"/>
        <v>0</v>
      </c>
      <c r="O41" s="814">
        <f t="shared" si="20"/>
        <v>0</v>
      </c>
    </row>
    <row r="42" spans="1:15" ht="15" hidden="1">
      <c r="A42" s="507">
        <v>1</v>
      </c>
      <c r="B42" s="429" t="s">
        <v>131</v>
      </c>
      <c r="C42" s="843">
        <f t="shared" si="19"/>
        <v>22</v>
      </c>
      <c r="D42" s="842">
        <v>11</v>
      </c>
      <c r="E42" s="844">
        <f>F42+G42</f>
        <v>10</v>
      </c>
      <c r="F42" s="842">
        <v>0</v>
      </c>
      <c r="G42" s="842">
        <v>10</v>
      </c>
      <c r="H42" s="842">
        <v>0</v>
      </c>
      <c r="I42" s="842">
        <v>0</v>
      </c>
      <c r="J42" s="842">
        <v>1</v>
      </c>
      <c r="K42" s="842">
        <v>0</v>
      </c>
      <c r="L42" s="842">
        <v>0</v>
      </c>
      <c r="M42" s="842">
        <v>0</v>
      </c>
      <c r="N42" s="842">
        <v>0</v>
      </c>
      <c r="O42" s="842">
        <v>0</v>
      </c>
    </row>
    <row r="43" spans="1:15" ht="15" hidden="1">
      <c r="A43" s="507">
        <v>2</v>
      </c>
      <c r="B43" s="429" t="s">
        <v>132</v>
      </c>
      <c r="C43" s="843">
        <f t="shared" si="19"/>
        <v>115</v>
      </c>
      <c r="D43" s="842">
        <v>0</v>
      </c>
      <c r="E43" s="844">
        <f>F43+G43</f>
        <v>113</v>
      </c>
      <c r="F43" s="842">
        <v>0</v>
      </c>
      <c r="G43" s="842">
        <v>113</v>
      </c>
      <c r="H43" s="842">
        <v>0</v>
      </c>
      <c r="I43" s="842">
        <v>0</v>
      </c>
      <c r="J43" s="842">
        <v>2</v>
      </c>
      <c r="K43" s="842">
        <v>0</v>
      </c>
      <c r="L43" s="842">
        <v>0</v>
      </c>
      <c r="M43" s="842">
        <v>0</v>
      </c>
      <c r="N43" s="842">
        <v>0</v>
      </c>
      <c r="O43" s="842">
        <v>0</v>
      </c>
    </row>
    <row r="44" spans="1:15" ht="15" hidden="1">
      <c r="A44" s="508" t="s">
        <v>1</v>
      </c>
      <c r="B44" s="394" t="s">
        <v>133</v>
      </c>
      <c r="C44" s="843">
        <f t="shared" si="19"/>
        <v>0</v>
      </c>
      <c r="D44" s="842">
        <v>0</v>
      </c>
      <c r="E44" s="844">
        <f>F44+G44</f>
        <v>0</v>
      </c>
      <c r="F44" s="842">
        <v>0</v>
      </c>
      <c r="G44" s="842"/>
      <c r="H44" s="842">
        <v>0</v>
      </c>
      <c r="I44" s="842">
        <v>0</v>
      </c>
      <c r="J44" s="842">
        <v>0</v>
      </c>
      <c r="K44" s="842">
        <v>0</v>
      </c>
      <c r="L44" s="842">
        <v>0</v>
      </c>
      <c r="M44" s="842">
        <v>0</v>
      </c>
      <c r="N44" s="842">
        <v>0</v>
      </c>
      <c r="O44" s="842">
        <v>0</v>
      </c>
    </row>
    <row r="45" spans="1:15" ht="15" hidden="1">
      <c r="A45" s="508" t="s">
        <v>9</v>
      </c>
      <c r="B45" s="394" t="s">
        <v>134</v>
      </c>
      <c r="C45" s="843">
        <f t="shared" si="19"/>
        <v>0</v>
      </c>
      <c r="D45" s="842"/>
      <c r="E45" s="844"/>
      <c r="F45" s="842"/>
      <c r="G45" s="842"/>
      <c r="H45" s="842"/>
      <c r="I45" s="842"/>
      <c r="J45" s="842"/>
      <c r="K45" s="842"/>
      <c r="L45" s="842"/>
      <c r="M45" s="842"/>
      <c r="N45" s="842"/>
      <c r="O45" s="842"/>
    </row>
    <row r="46" spans="1:15" ht="15" hidden="1">
      <c r="A46" s="508" t="s">
        <v>135</v>
      </c>
      <c r="B46" s="394" t="s">
        <v>136</v>
      </c>
      <c r="C46" s="845">
        <f t="shared" si="19"/>
        <v>137</v>
      </c>
      <c r="D46" s="845">
        <f>D41-SUM(D44,D45)</f>
        <v>11</v>
      </c>
      <c r="E46" s="846">
        <f aca="true" t="shared" si="21" ref="E46:E52">SUM(F46:G46)</f>
        <v>123</v>
      </c>
      <c r="F46" s="845">
        <f aca="true" t="shared" si="22" ref="F46:O46">F41-SUM(F44,F45)</f>
        <v>0</v>
      </c>
      <c r="G46" s="845">
        <f t="shared" si="22"/>
        <v>123</v>
      </c>
      <c r="H46" s="845">
        <f t="shared" si="22"/>
        <v>0</v>
      </c>
      <c r="I46" s="845">
        <f t="shared" si="22"/>
        <v>0</v>
      </c>
      <c r="J46" s="845">
        <f t="shared" si="22"/>
        <v>3</v>
      </c>
      <c r="K46" s="845">
        <f t="shared" si="22"/>
        <v>0</v>
      </c>
      <c r="L46" s="845">
        <f t="shared" si="22"/>
        <v>0</v>
      </c>
      <c r="M46" s="845">
        <f t="shared" si="22"/>
        <v>0</v>
      </c>
      <c r="N46" s="845">
        <f t="shared" si="22"/>
        <v>0</v>
      </c>
      <c r="O46" s="845">
        <f t="shared" si="22"/>
        <v>0</v>
      </c>
    </row>
    <row r="47" spans="1:15" ht="15" hidden="1">
      <c r="A47" s="508" t="s">
        <v>51</v>
      </c>
      <c r="B47" s="394" t="s">
        <v>137</v>
      </c>
      <c r="C47" s="845">
        <f t="shared" si="19"/>
        <v>122</v>
      </c>
      <c r="D47" s="847">
        <f>SUM(D48:D54)</f>
        <v>11</v>
      </c>
      <c r="E47" s="846">
        <f t="shared" si="21"/>
        <v>109</v>
      </c>
      <c r="F47" s="847">
        <f aca="true" t="shared" si="23" ref="F47:N47">SUM(F48:F54)</f>
        <v>0</v>
      </c>
      <c r="G47" s="847">
        <f t="shared" si="23"/>
        <v>109</v>
      </c>
      <c r="H47" s="847">
        <f t="shared" si="23"/>
        <v>0</v>
      </c>
      <c r="I47" s="847">
        <f t="shared" si="23"/>
        <v>0</v>
      </c>
      <c r="J47" s="847">
        <f t="shared" si="23"/>
        <v>2</v>
      </c>
      <c r="K47" s="847">
        <f t="shared" si="23"/>
        <v>0</v>
      </c>
      <c r="L47" s="847">
        <f t="shared" si="23"/>
        <v>0</v>
      </c>
      <c r="M47" s="847">
        <f t="shared" si="23"/>
        <v>0</v>
      </c>
      <c r="N47" s="847">
        <f t="shared" si="23"/>
        <v>0</v>
      </c>
      <c r="O47" s="847">
        <f>SUM(O48:O54)</f>
        <v>0</v>
      </c>
    </row>
    <row r="48" spans="1:15" ht="15" hidden="1">
      <c r="A48" s="507" t="s">
        <v>53</v>
      </c>
      <c r="B48" s="429" t="s">
        <v>138</v>
      </c>
      <c r="C48" s="843">
        <f aca="true" t="shared" si="24" ref="C48:C55">D48+E48+H48+I48+J48+K48+L48+M48+N48+O48</f>
        <v>29</v>
      </c>
      <c r="D48" s="842">
        <v>0</v>
      </c>
      <c r="E48" s="848">
        <f t="shared" si="21"/>
        <v>28</v>
      </c>
      <c r="F48" s="842">
        <v>0</v>
      </c>
      <c r="G48" s="842">
        <v>28</v>
      </c>
      <c r="H48" s="842">
        <v>0</v>
      </c>
      <c r="I48" s="842">
        <v>0</v>
      </c>
      <c r="J48" s="842">
        <v>1</v>
      </c>
      <c r="K48" s="842">
        <v>0</v>
      </c>
      <c r="L48" s="842">
        <v>0</v>
      </c>
      <c r="M48" s="842">
        <v>0</v>
      </c>
      <c r="N48" s="842">
        <v>0</v>
      </c>
      <c r="O48" s="842">
        <v>0</v>
      </c>
    </row>
    <row r="49" spans="1:15" ht="15" hidden="1">
      <c r="A49" s="507" t="s">
        <v>54</v>
      </c>
      <c r="B49" s="429" t="s">
        <v>139</v>
      </c>
      <c r="C49" s="843">
        <f t="shared" si="24"/>
        <v>0</v>
      </c>
      <c r="D49" s="842">
        <v>0</v>
      </c>
      <c r="E49" s="848">
        <f t="shared" si="21"/>
        <v>0</v>
      </c>
      <c r="F49" s="842">
        <v>0</v>
      </c>
      <c r="G49" s="842">
        <v>0</v>
      </c>
      <c r="H49" s="842">
        <v>0</v>
      </c>
      <c r="I49" s="842">
        <v>0</v>
      </c>
      <c r="J49" s="842">
        <v>0</v>
      </c>
      <c r="K49" s="842">
        <v>0</v>
      </c>
      <c r="L49" s="842">
        <v>0</v>
      </c>
      <c r="M49" s="842">
        <v>0</v>
      </c>
      <c r="N49" s="842">
        <v>0</v>
      </c>
      <c r="O49" s="842">
        <v>0</v>
      </c>
    </row>
    <row r="50" spans="1:15" ht="15" hidden="1">
      <c r="A50" s="507" t="s">
        <v>140</v>
      </c>
      <c r="B50" s="429" t="s">
        <v>141</v>
      </c>
      <c r="C50" s="843">
        <f t="shared" si="24"/>
        <v>93</v>
      </c>
      <c r="D50" s="842">
        <v>11</v>
      </c>
      <c r="E50" s="848">
        <f t="shared" si="21"/>
        <v>81</v>
      </c>
      <c r="F50" s="842">
        <v>0</v>
      </c>
      <c r="G50" s="842">
        <v>81</v>
      </c>
      <c r="H50" s="842">
        <v>0</v>
      </c>
      <c r="I50" s="842">
        <v>0</v>
      </c>
      <c r="J50" s="842">
        <v>1</v>
      </c>
      <c r="K50" s="842">
        <v>0</v>
      </c>
      <c r="L50" s="842">
        <v>0</v>
      </c>
      <c r="M50" s="842">
        <v>0</v>
      </c>
      <c r="N50" s="842">
        <v>0</v>
      </c>
      <c r="O50" s="842">
        <v>0</v>
      </c>
    </row>
    <row r="51" spans="1:15" ht="0.75" customHeight="1" hidden="1">
      <c r="A51" s="507" t="s">
        <v>142</v>
      </c>
      <c r="B51" s="429" t="s">
        <v>143</v>
      </c>
      <c r="C51" s="843">
        <f t="shared" si="24"/>
        <v>0</v>
      </c>
      <c r="D51" s="842">
        <v>0</v>
      </c>
      <c r="E51" s="848">
        <f t="shared" si="21"/>
        <v>0</v>
      </c>
      <c r="F51" s="842">
        <v>0</v>
      </c>
      <c r="G51" s="842">
        <v>0</v>
      </c>
      <c r="H51" s="842">
        <v>0</v>
      </c>
      <c r="I51" s="842">
        <v>0</v>
      </c>
      <c r="J51" s="842">
        <v>0</v>
      </c>
      <c r="K51" s="842">
        <v>0</v>
      </c>
      <c r="L51" s="842">
        <v>0</v>
      </c>
      <c r="M51" s="842">
        <v>0</v>
      </c>
      <c r="N51" s="842">
        <v>0</v>
      </c>
      <c r="O51" s="906"/>
    </row>
    <row r="52" spans="1:15" ht="15.75" hidden="1">
      <c r="A52" s="507" t="s">
        <v>144</v>
      </c>
      <c r="B52" s="429" t="s">
        <v>145</v>
      </c>
      <c r="C52" s="843">
        <f t="shared" si="24"/>
        <v>0</v>
      </c>
      <c r="D52" s="842">
        <v>0</v>
      </c>
      <c r="E52" s="848">
        <f t="shared" si="21"/>
        <v>0</v>
      </c>
      <c r="F52" s="906"/>
      <c r="G52" s="906"/>
      <c r="H52" s="906"/>
      <c r="I52" s="906"/>
      <c r="J52" s="906"/>
      <c r="K52" s="906"/>
      <c r="L52" s="906"/>
      <c r="M52" s="906"/>
      <c r="N52" s="906"/>
      <c r="O52" s="906"/>
    </row>
    <row r="53" spans="1:15" ht="25.5" hidden="1">
      <c r="A53" s="507" t="s">
        <v>146</v>
      </c>
      <c r="B53" s="431" t="s">
        <v>147</v>
      </c>
      <c r="C53" s="843">
        <f t="shared" si="24"/>
        <v>0</v>
      </c>
      <c r="D53" s="842">
        <v>0</v>
      </c>
      <c r="E53" s="848">
        <f>SUM(F53:G53)</f>
        <v>0</v>
      </c>
      <c r="F53" s="906"/>
      <c r="G53" s="906"/>
      <c r="H53" s="906"/>
      <c r="I53" s="906"/>
      <c r="J53" s="906"/>
      <c r="K53" s="906"/>
      <c r="L53" s="906"/>
      <c r="M53" s="906"/>
      <c r="N53" s="906"/>
      <c r="O53" s="906"/>
    </row>
    <row r="54" spans="1:15" ht="15.75" hidden="1">
      <c r="A54" s="507" t="s">
        <v>148</v>
      </c>
      <c r="B54" s="429" t="s">
        <v>149</v>
      </c>
      <c r="C54" s="843">
        <f t="shared" si="24"/>
        <v>0</v>
      </c>
      <c r="D54" s="842">
        <v>0</v>
      </c>
      <c r="E54" s="848">
        <f>SUM(F54:G54)</f>
        <v>0</v>
      </c>
      <c r="F54" s="906"/>
      <c r="G54" s="906"/>
      <c r="H54" s="906"/>
      <c r="I54" s="906"/>
      <c r="J54" s="906"/>
      <c r="K54" s="906"/>
      <c r="L54" s="906"/>
      <c r="M54" s="906"/>
      <c r="N54" s="906"/>
      <c r="O54" s="906"/>
    </row>
    <row r="55" spans="1:15" ht="15" hidden="1">
      <c r="A55" s="508" t="s">
        <v>52</v>
      </c>
      <c r="B55" s="394" t="s">
        <v>150</v>
      </c>
      <c r="C55" s="806">
        <f t="shared" si="24"/>
        <v>15</v>
      </c>
      <c r="D55" s="806">
        <f>D46-D47</f>
        <v>0</v>
      </c>
      <c r="E55" s="814">
        <f>SUM(F55:G55)</f>
        <v>14</v>
      </c>
      <c r="F55" s="806">
        <f>F46-F47</f>
        <v>0</v>
      </c>
      <c r="G55" s="806">
        <f>G46-G47</f>
        <v>14</v>
      </c>
      <c r="H55" s="806">
        <f>H46-H47</f>
        <v>0</v>
      </c>
      <c r="I55" s="806">
        <f aca="true" t="shared" si="25" ref="I55:N55">I46-I47</f>
        <v>0</v>
      </c>
      <c r="J55" s="806">
        <f t="shared" si="25"/>
        <v>1</v>
      </c>
      <c r="K55" s="806">
        <f t="shared" si="25"/>
        <v>0</v>
      </c>
      <c r="L55" s="806">
        <f t="shared" si="25"/>
        <v>0</v>
      </c>
      <c r="M55" s="806">
        <f t="shared" si="25"/>
        <v>0</v>
      </c>
      <c r="N55" s="806">
        <f t="shared" si="25"/>
        <v>0</v>
      </c>
      <c r="O55" s="806">
        <f>O41-O47</f>
        <v>0</v>
      </c>
    </row>
    <row r="56" spans="1:15" ht="25.5" hidden="1">
      <c r="A56" s="509" t="s">
        <v>540</v>
      </c>
      <c r="B56" s="432" t="s">
        <v>151</v>
      </c>
      <c r="C56" s="516">
        <f>(C48+C49)/C47</f>
        <v>0.23770491803278687</v>
      </c>
      <c r="D56" s="516">
        <f aca="true" t="shared" si="26" ref="D56:O56">(D48+D49)/D47</f>
        <v>0</v>
      </c>
      <c r="E56" s="516">
        <f t="shared" si="26"/>
        <v>0.25688073394495414</v>
      </c>
      <c r="F56" s="516" t="e">
        <f t="shared" si="26"/>
        <v>#DIV/0!</v>
      </c>
      <c r="G56" s="516">
        <f t="shared" si="26"/>
        <v>0.25688073394495414</v>
      </c>
      <c r="H56" s="516" t="e">
        <f t="shared" si="26"/>
        <v>#DIV/0!</v>
      </c>
      <c r="I56" s="516" t="e">
        <f t="shared" si="26"/>
        <v>#DIV/0!</v>
      </c>
      <c r="J56" s="516">
        <f t="shared" si="26"/>
        <v>0.5</v>
      </c>
      <c r="K56" s="516" t="e">
        <f t="shared" si="26"/>
        <v>#DIV/0!</v>
      </c>
      <c r="L56" s="516" t="e">
        <f t="shared" si="26"/>
        <v>#DIV/0!</v>
      </c>
      <c r="M56" s="516" t="e">
        <f t="shared" si="26"/>
        <v>#DIV/0!</v>
      </c>
      <c r="N56" s="516" t="e">
        <f t="shared" si="26"/>
        <v>#DIV/0!</v>
      </c>
      <c r="O56" s="516" t="e">
        <f t="shared" si="26"/>
        <v>#DIV/0!</v>
      </c>
    </row>
    <row r="57" ht="15" hidden="1"/>
    <row r="58" ht="15" hidden="1">
      <c r="B58" s="1020" t="s">
        <v>505</v>
      </c>
    </row>
    <row r="59" ht="15" hidden="1"/>
    <row r="60" spans="1:15" ht="15" hidden="1">
      <c r="A60" s="1501" t="s">
        <v>68</v>
      </c>
      <c r="B60" s="1501"/>
      <c r="C60" s="1501" t="s">
        <v>37</v>
      </c>
      <c r="D60" s="1501" t="s">
        <v>335</v>
      </c>
      <c r="E60" s="1501"/>
      <c r="F60" s="1501"/>
      <c r="G60" s="1501"/>
      <c r="H60" s="1501"/>
      <c r="I60" s="1501"/>
      <c r="J60" s="1501"/>
      <c r="K60" s="1501"/>
      <c r="L60" s="1501"/>
      <c r="M60" s="1501"/>
      <c r="N60" s="1501"/>
      <c r="O60" s="1501"/>
    </row>
    <row r="61" spans="1:15" ht="15" hidden="1">
      <c r="A61" s="1501"/>
      <c r="B61" s="1501"/>
      <c r="C61" s="1501"/>
      <c r="D61" s="1518" t="s">
        <v>119</v>
      </c>
      <c r="E61" s="1516" t="s">
        <v>120</v>
      </c>
      <c r="F61" s="1516"/>
      <c r="G61" s="1516"/>
      <c r="H61" s="1516" t="s">
        <v>121</v>
      </c>
      <c r="I61" s="1516" t="s">
        <v>122</v>
      </c>
      <c r="J61" s="1516" t="s">
        <v>123</v>
      </c>
      <c r="K61" s="1516" t="s">
        <v>124</v>
      </c>
      <c r="L61" s="1516" t="s">
        <v>125</v>
      </c>
      <c r="M61" s="1516" t="s">
        <v>126</v>
      </c>
      <c r="N61" s="1516" t="s">
        <v>183</v>
      </c>
      <c r="O61" s="1516" t="s">
        <v>127</v>
      </c>
    </row>
    <row r="62" spans="1:15" ht="15" hidden="1">
      <c r="A62" s="1501"/>
      <c r="B62" s="1501"/>
      <c r="C62" s="1501"/>
      <c r="D62" s="1518"/>
      <c r="E62" s="1516" t="s">
        <v>36</v>
      </c>
      <c r="F62" s="1516" t="s">
        <v>7</v>
      </c>
      <c r="G62" s="1516"/>
      <c r="H62" s="1516"/>
      <c r="I62" s="1516"/>
      <c r="J62" s="1516"/>
      <c r="K62" s="1516"/>
      <c r="L62" s="1516"/>
      <c r="M62" s="1516"/>
      <c r="N62" s="1516"/>
      <c r="O62" s="1516"/>
    </row>
    <row r="63" spans="1:15" ht="30" hidden="1">
      <c r="A63" s="1501"/>
      <c r="B63" s="1501"/>
      <c r="C63" s="1501"/>
      <c r="D63" s="1518"/>
      <c r="E63" s="1516"/>
      <c r="F63" s="560" t="s">
        <v>128</v>
      </c>
      <c r="G63" s="560" t="s">
        <v>129</v>
      </c>
      <c r="H63" s="1516"/>
      <c r="I63" s="1516"/>
      <c r="J63" s="1516"/>
      <c r="K63" s="1516"/>
      <c r="L63" s="1516"/>
      <c r="M63" s="1516"/>
      <c r="N63" s="1516"/>
      <c r="O63" s="1516"/>
    </row>
    <row r="64" spans="1:15" ht="15" hidden="1">
      <c r="A64" s="1517" t="s">
        <v>39</v>
      </c>
      <c r="B64" s="1517"/>
      <c r="C64" s="517">
        <v>1</v>
      </c>
      <c r="D64" s="517">
        <v>2</v>
      </c>
      <c r="E64" s="517">
        <v>3</v>
      </c>
      <c r="F64" s="517">
        <v>4</v>
      </c>
      <c r="G64" s="517">
        <v>5</v>
      </c>
      <c r="H64" s="517">
        <v>6</v>
      </c>
      <c r="I64" s="517">
        <v>7</v>
      </c>
      <c r="J64" s="517">
        <v>8</v>
      </c>
      <c r="K64" s="517">
        <v>9</v>
      </c>
      <c r="L64" s="517">
        <v>10</v>
      </c>
      <c r="M64" s="517">
        <v>11</v>
      </c>
      <c r="N64" s="517">
        <v>12</v>
      </c>
      <c r="O64" s="517">
        <v>13</v>
      </c>
    </row>
    <row r="65" spans="1:15" ht="15" hidden="1">
      <c r="A65" s="508" t="s">
        <v>0</v>
      </c>
      <c r="B65" s="438" t="s">
        <v>130</v>
      </c>
      <c r="C65" s="806">
        <f aca="true" t="shared" si="27" ref="C65:C71">SUM(D65,E65,H65:O65)</f>
        <v>198</v>
      </c>
      <c r="D65" s="814">
        <f aca="true" t="shared" si="28" ref="D65:O65">SUM(D66:D67)</f>
        <v>146</v>
      </c>
      <c r="E65" s="814">
        <f t="shared" si="28"/>
        <v>11</v>
      </c>
      <c r="F65" s="814">
        <f t="shared" si="28"/>
        <v>0</v>
      </c>
      <c r="G65" s="814">
        <f t="shared" si="28"/>
        <v>11</v>
      </c>
      <c r="H65" s="814">
        <f t="shared" si="28"/>
        <v>0</v>
      </c>
      <c r="I65" s="814">
        <f t="shared" si="28"/>
        <v>36</v>
      </c>
      <c r="J65" s="814">
        <f t="shared" si="28"/>
        <v>2</v>
      </c>
      <c r="K65" s="814">
        <f t="shared" si="28"/>
        <v>3</v>
      </c>
      <c r="L65" s="814">
        <f t="shared" si="28"/>
        <v>0</v>
      </c>
      <c r="M65" s="814">
        <f t="shared" si="28"/>
        <v>0</v>
      </c>
      <c r="N65" s="814">
        <f t="shared" si="28"/>
        <v>0</v>
      </c>
      <c r="O65" s="814">
        <f t="shared" si="28"/>
        <v>0</v>
      </c>
    </row>
    <row r="66" spans="1:15" ht="15" hidden="1">
      <c r="A66" s="507">
        <v>1</v>
      </c>
      <c r="B66" s="429" t="s">
        <v>131</v>
      </c>
      <c r="C66" s="843">
        <f t="shared" si="27"/>
        <v>117</v>
      </c>
      <c r="D66" s="841">
        <v>96</v>
      </c>
      <c r="E66" s="844">
        <f>F66+G66</f>
        <v>5</v>
      </c>
      <c r="F66" s="841">
        <v>0</v>
      </c>
      <c r="G66" s="841">
        <v>5</v>
      </c>
      <c r="H66" s="841">
        <v>0</v>
      </c>
      <c r="I66" s="841">
        <v>12</v>
      </c>
      <c r="J66" s="841">
        <v>1</v>
      </c>
      <c r="K66" s="841">
        <v>3</v>
      </c>
      <c r="L66" s="841">
        <v>0</v>
      </c>
      <c r="M66" s="841">
        <v>0</v>
      </c>
      <c r="N66" s="841">
        <v>0</v>
      </c>
      <c r="O66" s="841">
        <v>0</v>
      </c>
    </row>
    <row r="67" spans="1:15" ht="15" hidden="1">
      <c r="A67" s="507">
        <v>2</v>
      </c>
      <c r="B67" s="429" t="s">
        <v>132</v>
      </c>
      <c r="C67" s="843">
        <f t="shared" si="27"/>
        <v>81</v>
      </c>
      <c r="D67" s="841">
        <v>50</v>
      </c>
      <c r="E67" s="844">
        <f>F67+G67</f>
        <v>6</v>
      </c>
      <c r="F67" s="841">
        <v>0</v>
      </c>
      <c r="G67" s="841">
        <v>6</v>
      </c>
      <c r="H67" s="841">
        <v>0</v>
      </c>
      <c r="I67" s="841">
        <v>24</v>
      </c>
      <c r="J67" s="841">
        <v>1</v>
      </c>
      <c r="K67" s="841">
        <v>0</v>
      </c>
      <c r="L67" s="841">
        <v>0</v>
      </c>
      <c r="M67" s="841">
        <v>0</v>
      </c>
      <c r="N67" s="841">
        <v>0</v>
      </c>
      <c r="O67" s="841">
        <v>0</v>
      </c>
    </row>
    <row r="68" spans="1:15" ht="15" hidden="1">
      <c r="A68" s="508" t="s">
        <v>1</v>
      </c>
      <c r="B68" s="394" t="s">
        <v>133</v>
      </c>
      <c r="C68" s="843">
        <f t="shared" si="27"/>
        <v>3</v>
      </c>
      <c r="D68" s="841">
        <v>0</v>
      </c>
      <c r="E68" s="844">
        <f>F68+G68</f>
        <v>1</v>
      </c>
      <c r="F68" s="841">
        <v>0</v>
      </c>
      <c r="G68" s="841">
        <v>1</v>
      </c>
      <c r="H68" s="841">
        <v>0</v>
      </c>
      <c r="I68" s="841">
        <v>2</v>
      </c>
      <c r="J68" s="841">
        <v>0</v>
      </c>
      <c r="K68" s="841">
        <v>0</v>
      </c>
      <c r="L68" s="841">
        <v>0</v>
      </c>
      <c r="M68" s="841">
        <v>0</v>
      </c>
      <c r="N68" s="841">
        <v>0</v>
      </c>
      <c r="O68" s="841">
        <v>0</v>
      </c>
    </row>
    <row r="69" spans="1:15" ht="15" hidden="1">
      <c r="A69" s="508" t="s">
        <v>9</v>
      </c>
      <c r="B69" s="394" t="s">
        <v>134</v>
      </c>
      <c r="C69" s="843">
        <f t="shared" si="27"/>
        <v>0</v>
      </c>
      <c r="D69" s="841">
        <f>SUM('[11]C. Thuy TD'!D63+'[11]H. Thủy'!D63+'[11]Q. Cường'!D63+'[11]Úy '!D63+'[11]Đ. Tiến'!D63+'[11]A. Huy '!D63+'[11]D. Hồng TD'!D63+'[11]Q. Huy TD'!D63)</f>
        <v>0</v>
      </c>
      <c r="E69" s="844"/>
      <c r="F69" s="842"/>
      <c r="G69" s="842"/>
      <c r="H69" s="842"/>
      <c r="I69" s="842"/>
      <c r="J69" s="842"/>
      <c r="K69" s="842"/>
      <c r="L69" s="842"/>
      <c r="M69" s="842"/>
      <c r="N69" s="842"/>
      <c r="O69" s="842"/>
    </row>
    <row r="70" spans="1:15" ht="15" hidden="1">
      <c r="A70" s="508" t="s">
        <v>135</v>
      </c>
      <c r="B70" s="394" t="s">
        <v>136</v>
      </c>
      <c r="C70" s="845">
        <f t="shared" si="27"/>
        <v>195</v>
      </c>
      <c r="D70" s="845">
        <f>D65-SUM(D68,D69)</f>
        <v>146</v>
      </c>
      <c r="E70" s="846">
        <f aca="true" t="shared" si="29" ref="E70:E76">SUM(F70:G70)</f>
        <v>10</v>
      </c>
      <c r="F70" s="845">
        <f aca="true" t="shared" si="30" ref="F70:O70">F65-SUM(F68,F69)</f>
        <v>0</v>
      </c>
      <c r="G70" s="845">
        <f t="shared" si="30"/>
        <v>10</v>
      </c>
      <c r="H70" s="845">
        <f t="shared" si="30"/>
        <v>0</v>
      </c>
      <c r="I70" s="845">
        <f t="shared" si="30"/>
        <v>34</v>
      </c>
      <c r="J70" s="845">
        <f t="shared" si="30"/>
        <v>2</v>
      </c>
      <c r="K70" s="845">
        <f t="shared" si="30"/>
        <v>3</v>
      </c>
      <c r="L70" s="845">
        <f t="shared" si="30"/>
        <v>0</v>
      </c>
      <c r="M70" s="845">
        <f t="shared" si="30"/>
        <v>0</v>
      </c>
      <c r="N70" s="845">
        <f t="shared" si="30"/>
        <v>0</v>
      </c>
      <c r="O70" s="845">
        <f t="shared" si="30"/>
        <v>0</v>
      </c>
    </row>
    <row r="71" spans="1:15" ht="15" hidden="1">
      <c r="A71" s="508" t="s">
        <v>51</v>
      </c>
      <c r="B71" s="394" t="s">
        <v>137</v>
      </c>
      <c r="C71" s="845">
        <f t="shared" si="27"/>
        <v>116</v>
      </c>
      <c r="D71" s="847">
        <f>SUM(D72:D78)</f>
        <v>79</v>
      </c>
      <c r="E71" s="846">
        <f t="shared" si="29"/>
        <v>4</v>
      </c>
      <c r="F71" s="847">
        <f aca="true" t="shared" si="31" ref="F71:N71">SUM(F72:F78)</f>
        <v>0</v>
      </c>
      <c r="G71" s="847">
        <f t="shared" si="31"/>
        <v>4</v>
      </c>
      <c r="H71" s="847">
        <f t="shared" si="31"/>
        <v>0</v>
      </c>
      <c r="I71" s="847">
        <f t="shared" si="31"/>
        <v>29</v>
      </c>
      <c r="J71" s="847">
        <f t="shared" si="31"/>
        <v>2</v>
      </c>
      <c r="K71" s="847">
        <f t="shared" si="31"/>
        <v>2</v>
      </c>
      <c r="L71" s="847">
        <f t="shared" si="31"/>
        <v>0</v>
      </c>
      <c r="M71" s="847">
        <f t="shared" si="31"/>
        <v>0</v>
      </c>
      <c r="N71" s="847">
        <f t="shared" si="31"/>
        <v>0</v>
      </c>
      <c r="O71" s="847">
        <f>SUM(O72:O78)</f>
        <v>0</v>
      </c>
    </row>
    <row r="72" spans="1:15" ht="15" hidden="1">
      <c r="A72" s="507" t="s">
        <v>53</v>
      </c>
      <c r="B72" s="429" t="s">
        <v>138</v>
      </c>
      <c r="C72" s="843">
        <f aca="true" t="shared" si="32" ref="C72:C79">D72+E72+H72+I72+J72+K72+L72+M72+N72+O72</f>
        <v>19</v>
      </c>
      <c r="D72" s="841">
        <v>8</v>
      </c>
      <c r="E72" s="848">
        <f t="shared" si="29"/>
        <v>4</v>
      </c>
      <c r="F72" s="841">
        <v>0</v>
      </c>
      <c r="G72" s="841">
        <v>4</v>
      </c>
      <c r="H72" s="841">
        <v>0</v>
      </c>
      <c r="I72" s="841">
        <v>6</v>
      </c>
      <c r="J72" s="841">
        <v>1</v>
      </c>
      <c r="K72" s="841">
        <v>0</v>
      </c>
      <c r="L72" s="841">
        <v>0</v>
      </c>
      <c r="M72" s="841">
        <v>0</v>
      </c>
      <c r="N72" s="841">
        <v>0</v>
      </c>
      <c r="O72" s="841">
        <v>0</v>
      </c>
    </row>
    <row r="73" spans="1:15" ht="15" hidden="1">
      <c r="A73" s="507" t="s">
        <v>54</v>
      </c>
      <c r="B73" s="429" t="s">
        <v>139</v>
      </c>
      <c r="C73" s="843">
        <f t="shared" si="32"/>
        <v>5</v>
      </c>
      <c r="D73" s="841">
        <v>5</v>
      </c>
      <c r="E73" s="848">
        <f t="shared" si="29"/>
        <v>0</v>
      </c>
      <c r="F73" s="841">
        <v>0</v>
      </c>
      <c r="G73" s="841">
        <v>0</v>
      </c>
      <c r="H73" s="841">
        <v>0</v>
      </c>
      <c r="I73" s="841">
        <v>0</v>
      </c>
      <c r="J73" s="841">
        <v>0</v>
      </c>
      <c r="K73" s="841">
        <v>0</v>
      </c>
      <c r="L73" s="841">
        <v>0</v>
      </c>
      <c r="M73" s="841">
        <v>0</v>
      </c>
      <c r="N73" s="841">
        <v>0</v>
      </c>
      <c r="O73" s="841">
        <v>0</v>
      </c>
    </row>
    <row r="74" spans="1:15" ht="15" hidden="1">
      <c r="A74" s="507" t="s">
        <v>140</v>
      </c>
      <c r="B74" s="429" t="s">
        <v>141</v>
      </c>
      <c r="C74" s="843">
        <f t="shared" si="32"/>
        <v>69</v>
      </c>
      <c r="D74" s="841">
        <v>44</v>
      </c>
      <c r="E74" s="848">
        <f t="shared" si="29"/>
        <v>0</v>
      </c>
      <c r="F74" s="841">
        <v>0</v>
      </c>
      <c r="G74" s="841">
        <v>0</v>
      </c>
      <c r="H74" s="841">
        <v>0</v>
      </c>
      <c r="I74" s="841">
        <v>22</v>
      </c>
      <c r="J74" s="841">
        <v>1</v>
      </c>
      <c r="K74" s="841">
        <v>2</v>
      </c>
      <c r="L74" s="841">
        <v>0</v>
      </c>
      <c r="M74" s="841">
        <v>0</v>
      </c>
      <c r="N74" s="841">
        <v>0</v>
      </c>
      <c r="O74" s="841">
        <v>0</v>
      </c>
    </row>
    <row r="75" spans="1:15" ht="15" hidden="1">
      <c r="A75" s="507" t="s">
        <v>142</v>
      </c>
      <c r="B75" s="429" t="s">
        <v>143</v>
      </c>
      <c r="C75" s="843">
        <f t="shared" si="32"/>
        <v>19</v>
      </c>
      <c r="D75" s="841">
        <v>18</v>
      </c>
      <c r="E75" s="848">
        <f t="shared" si="29"/>
        <v>0</v>
      </c>
      <c r="F75" s="841">
        <v>0</v>
      </c>
      <c r="G75" s="841">
        <v>0</v>
      </c>
      <c r="H75" s="841">
        <v>0</v>
      </c>
      <c r="I75" s="841">
        <v>1</v>
      </c>
      <c r="J75" s="841">
        <v>0</v>
      </c>
      <c r="K75" s="841">
        <v>0</v>
      </c>
      <c r="L75" s="841">
        <v>0</v>
      </c>
      <c r="M75" s="841">
        <v>0</v>
      </c>
      <c r="N75" s="841">
        <v>0</v>
      </c>
      <c r="O75" s="841">
        <v>0</v>
      </c>
    </row>
    <row r="76" spans="1:15" ht="15" hidden="1">
      <c r="A76" s="507" t="s">
        <v>144</v>
      </c>
      <c r="B76" s="429" t="s">
        <v>145</v>
      </c>
      <c r="C76" s="843">
        <f t="shared" si="32"/>
        <v>4</v>
      </c>
      <c r="D76" s="841">
        <v>4</v>
      </c>
      <c r="E76" s="848">
        <f t="shared" si="29"/>
        <v>0</v>
      </c>
      <c r="F76" s="841">
        <v>0</v>
      </c>
      <c r="G76" s="841">
        <v>0</v>
      </c>
      <c r="H76" s="841">
        <v>0</v>
      </c>
      <c r="I76" s="841">
        <v>0</v>
      </c>
      <c r="J76" s="841">
        <v>0</v>
      </c>
      <c r="K76" s="841">
        <v>0</v>
      </c>
      <c r="L76" s="841">
        <v>0</v>
      </c>
      <c r="M76" s="841">
        <v>0</v>
      </c>
      <c r="N76" s="841">
        <v>0</v>
      </c>
      <c r="O76" s="841">
        <v>0</v>
      </c>
    </row>
    <row r="77" spans="1:15" ht="25.5" hidden="1">
      <c r="A77" s="507" t="s">
        <v>146</v>
      </c>
      <c r="B77" s="431" t="s">
        <v>147</v>
      </c>
      <c r="C77" s="843">
        <f t="shared" si="32"/>
        <v>0</v>
      </c>
      <c r="D77" s="841">
        <v>0</v>
      </c>
      <c r="E77" s="848">
        <f>SUM(F77:G77)</f>
        <v>0</v>
      </c>
      <c r="F77" s="841">
        <v>0</v>
      </c>
      <c r="G77" s="841">
        <v>0</v>
      </c>
      <c r="H77" s="841">
        <v>0</v>
      </c>
      <c r="I77" s="841">
        <v>0</v>
      </c>
      <c r="J77" s="841">
        <v>0</v>
      </c>
      <c r="K77" s="841">
        <v>0</v>
      </c>
      <c r="L77" s="841">
        <v>0</v>
      </c>
      <c r="M77" s="841">
        <v>0</v>
      </c>
      <c r="N77" s="841">
        <v>0</v>
      </c>
      <c r="O77" s="841">
        <v>0</v>
      </c>
    </row>
    <row r="78" spans="1:15" ht="15" hidden="1">
      <c r="A78" s="507" t="s">
        <v>148</v>
      </c>
      <c r="B78" s="429" t="s">
        <v>149</v>
      </c>
      <c r="C78" s="843">
        <f t="shared" si="32"/>
        <v>0</v>
      </c>
      <c r="D78" s="841">
        <v>0</v>
      </c>
      <c r="E78" s="848">
        <f>SUM(F78:G78)</f>
        <v>0</v>
      </c>
      <c r="F78" s="841">
        <v>0</v>
      </c>
      <c r="G78" s="841">
        <v>0</v>
      </c>
      <c r="H78" s="841">
        <v>0</v>
      </c>
      <c r="I78" s="841">
        <v>0</v>
      </c>
      <c r="J78" s="841">
        <v>0</v>
      </c>
      <c r="K78" s="841">
        <v>0</v>
      </c>
      <c r="L78" s="841">
        <v>0</v>
      </c>
      <c r="M78" s="841">
        <v>0</v>
      </c>
      <c r="N78" s="841">
        <v>0</v>
      </c>
      <c r="O78" s="841">
        <v>0</v>
      </c>
    </row>
    <row r="79" spans="1:15" ht="15" hidden="1">
      <c r="A79" s="508" t="s">
        <v>52</v>
      </c>
      <c r="B79" s="394" t="s">
        <v>150</v>
      </c>
      <c r="C79" s="806">
        <f t="shared" si="32"/>
        <v>79</v>
      </c>
      <c r="D79" s="806">
        <f>D70-D71</f>
        <v>67</v>
      </c>
      <c r="E79" s="814">
        <f>SUM(F79:G79)</f>
        <v>6</v>
      </c>
      <c r="F79" s="806">
        <f>F70-F71</f>
        <v>0</v>
      </c>
      <c r="G79" s="806">
        <f>G70-G71</f>
        <v>6</v>
      </c>
      <c r="H79" s="806">
        <f>H70-H71</f>
        <v>0</v>
      </c>
      <c r="I79" s="806">
        <f aca="true" t="shared" si="33" ref="I79:N79">I70-I71</f>
        <v>5</v>
      </c>
      <c r="J79" s="806">
        <f t="shared" si="33"/>
        <v>0</v>
      </c>
      <c r="K79" s="806">
        <f t="shared" si="33"/>
        <v>1</v>
      </c>
      <c r="L79" s="806">
        <f t="shared" si="33"/>
        <v>0</v>
      </c>
      <c r="M79" s="806">
        <f t="shared" si="33"/>
        <v>0</v>
      </c>
      <c r="N79" s="806">
        <f t="shared" si="33"/>
        <v>0</v>
      </c>
      <c r="O79" s="806">
        <f>O65-O71</f>
        <v>0</v>
      </c>
    </row>
    <row r="80" spans="1:15" ht="25.5" hidden="1">
      <c r="A80" s="509" t="s">
        <v>540</v>
      </c>
      <c r="B80" s="432" t="s">
        <v>151</v>
      </c>
      <c r="C80" s="516">
        <f>(C72+C73)/C71</f>
        <v>0.20689655172413793</v>
      </c>
      <c r="D80" s="516">
        <f aca="true" t="shared" si="34" ref="D80:O80">(D72+D73)/D71</f>
        <v>0.16455696202531644</v>
      </c>
      <c r="E80" s="516">
        <f t="shared" si="34"/>
        <v>1</v>
      </c>
      <c r="F80" s="516" t="e">
        <f t="shared" si="34"/>
        <v>#DIV/0!</v>
      </c>
      <c r="G80" s="516">
        <f t="shared" si="34"/>
        <v>1</v>
      </c>
      <c r="H80" s="516" t="e">
        <f t="shared" si="34"/>
        <v>#DIV/0!</v>
      </c>
      <c r="I80" s="516">
        <f t="shared" si="34"/>
        <v>0.20689655172413793</v>
      </c>
      <c r="J80" s="516">
        <f t="shared" si="34"/>
        <v>0.5</v>
      </c>
      <c r="K80" s="516">
        <f t="shared" si="34"/>
        <v>0</v>
      </c>
      <c r="L80" s="516" t="e">
        <f t="shared" si="34"/>
        <v>#DIV/0!</v>
      </c>
      <c r="M80" s="516" t="e">
        <f t="shared" si="34"/>
        <v>#DIV/0!</v>
      </c>
      <c r="N80" s="516" t="e">
        <f t="shared" si="34"/>
        <v>#DIV/0!</v>
      </c>
      <c r="O80" s="516" t="e">
        <f t="shared" si="34"/>
        <v>#DIV/0!</v>
      </c>
    </row>
    <row r="81" ht="15" hidden="1"/>
    <row r="82" ht="15" hidden="1">
      <c r="B82" s="1020" t="s">
        <v>744</v>
      </c>
    </row>
    <row r="83" spans="1:15" ht="15" hidden="1">
      <c r="A83" s="1501" t="s">
        <v>68</v>
      </c>
      <c r="B83" s="1501"/>
      <c r="C83" s="1501" t="s">
        <v>37</v>
      </c>
      <c r="D83" s="1501" t="s">
        <v>335</v>
      </c>
      <c r="E83" s="1501"/>
      <c r="F83" s="1501"/>
      <c r="G83" s="1501"/>
      <c r="H83" s="1501"/>
      <c r="I83" s="1501"/>
      <c r="J83" s="1501"/>
      <c r="K83" s="1501"/>
      <c r="L83" s="1501"/>
      <c r="M83" s="1501"/>
      <c r="N83" s="1501"/>
      <c r="O83" s="1501"/>
    </row>
    <row r="84" spans="1:15" ht="15" hidden="1">
      <c r="A84" s="1501"/>
      <c r="B84" s="1501"/>
      <c r="C84" s="1501"/>
      <c r="D84" s="1518" t="s">
        <v>119</v>
      </c>
      <c r="E84" s="1516" t="s">
        <v>120</v>
      </c>
      <c r="F84" s="1516"/>
      <c r="G84" s="1516"/>
      <c r="H84" s="1516" t="s">
        <v>121</v>
      </c>
      <c r="I84" s="1516" t="s">
        <v>122</v>
      </c>
      <c r="J84" s="1516" t="s">
        <v>123</v>
      </c>
      <c r="K84" s="1516" t="s">
        <v>124</v>
      </c>
      <c r="L84" s="1516" t="s">
        <v>125</v>
      </c>
      <c r="M84" s="1516" t="s">
        <v>126</v>
      </c>
      <c r="N84" s="1516" t="s">
        <v>183</v>
      </c>
      <c r="O84" s="1516" t="s">
        <v>127</v>
      </c>
    </row>
    <row r="85" spans="1:15" ht="15" hidden="1">
      <c r="A85" s="1501"/>
      <c r="B85" s="1501"/>
      <c r="C85" s="1501"/>
      <c r="D85" s="1518"/>
      <c r="E85" s="1516" t="s">
        <v>36</v>
      </c>
      <c r="F85" s="1516" t="s">
        <v>7</v>
      </c>
      <c r="G85" s="1516"/>
      <c r="H85" s="1516"/>
      <c r="I85" s="1516"/>
      <c r="J85" s="1516"/>
      <c r="K85" s="1516"/>
      <c r="L85" s="1516"/>
      <c r="M85" s="1516"/>
      <c r="N85" s="1516"/>
      <c r="O85" s="1516"/>
    </row>
    <row r="86" spans="1:15" ht="30" hidden="1">
      <c r="A86" s="1501"/>
      <c r="B86" s="1501"/>
      <c r="C86" s="1501"/>
      <c r="D86" s="1518"/>
      <c r="E86" s="1516"/>
      <c r="F86" s="560" t="s">
        <v>128</v>
      </c>
      <c r="G86" s="560" t="s">
        <v>129</v>
      </c>
      <c r="H86" s="1516"/>
      <c r="I86" s="1516"/>
      <c r="J86" s="1516"/>
      <c r="K86" s="1516"/>
      <c r="L86" s="1516"/>
      <c r="M86" s="1516"/>
      <c r="N86" s="1516"/>
      <c r="O86" s="1516"/>
    </row>
    <row r="87" spans="1:15" ht="15" hidden="1">
      <c r="A87" s="1517" t="s">
        <v>39</v>
      </c>
      <c r="B87" s="1517"/>
      <c r="C87" s="517">
        <v>1</v>
      </c>
      <c r="D87" s="517">
        <v>2</v>
      </c>
      <c r="E87" s="517">
        <v>3</v>
      </c>
      <c r="F87" s="517">
        <v>4</v>
      </c>
      <c r="G87" s="517">
        <v>5</v>
      </c>
      <c r="H87" s="517">
        <v>6</v>
      </c>
      <c r="I87" s="517">
        <v>7</v>
      </c>
      <c r="J87" s="517">
        <v>8</v>
      </c>
      <c r="K87" s="517">
        <v>9</v>
      </c>
      <c r="L87" s="517">
        <v>10</v>
      </c>
      <c r="M87" s="517">
        <v>11</v>
      </c>
      <c r="N87" s="517">
        <v>12</v>
      </c>
      <c r="O87" s="517">
        <v>13</v>
      </c>
    </row>
    <row r="88" spans="1:15" ht="15" hidden="1">
      <c r="A88" s="508" t="s">
        <v>0</v>
      </c>
      <c r="B88" s="438" t="s">
        <v>130</v>
      </c>
      <c r="C88" s="806">
        <f aca="true" t="shared" si="35" ref="C88:C94">SUM(D88,E88,H88:O88)</f>
        <v>81</v>
      </c>
      <c r="D88" s="814">
        <f aca="true" t="shared" si="36" ref="D88:O88">SUM(D89:D90)</f>
        <v>64</v>
      </c>
      <c r="E88" s="814">
        <f t="shared" si="36"/>
        <v>5</v>
      </c>
      <c r="F88" s="814">
        <f t="shared" si="36"/>
        <v>0</v>
      </c>
      <c r="G88" s="814">
        <f t="shared" si="36"/>
        <v>5</v>
      </c>
      <c r="H88" s="814">
        <f t="shared" si="36"/>
        <v>0</v>
      </c>
      <c r="I88" s="814">
        <f t="shared" si="36"/>
        <v>12</v>
      </c>
      <c r="J88" s="814">
        <f t="shared" si="36"/>
        <v>0</v>
      </c>
      <c r="K88" s="814">
        <f t="shared" si="36"/>
        <v>0</v>
      </c>
      <c r="L88" s="814">
        <f t="shared" si="36"/>
        <v>0</v>
      </c>
      <c r="M88" s="814">
        <f t="shared" si="36"/>
        <v>0</v>
      </c>
      <c r="N88" s="814">
        <f t="shared" si="36"/>
        <v>0</v>
      </c>
      <c r="O88" s="814">
        <f t="shared" si="36"/>
        <v>0</v>
      </c>
    </row>
    <row r="89" spans="1:15" ht="15.75" hidden="1">
      <c r="A89" s="507">
        <v>1</v>
      </c>
      <c r="B89" s="429" t="s">
        <v>131</v>
      </c>
      <c r="C89" s="843">
        <f t="shared" si="35"/>
        <v>44</v>
      </c>
      <c r="D89" s="940">
        <v>36</v>
      </c>
      <c r="E89" s="844">
        <f>F89+G89</f>
        <v>3</v>
      </c>
      <c r="F89" s="940">
        <v>0</v>
      </c>
      <c r="G89" s="940">
        <v>3</v>
      </c>
      <c r="H89" s="940">
        <v>0</v>
      </c>
      <c r="I89" s="940">
        <v>5</v>
      </c>
      <c r="J89" s="940">
        <v>0</v>
      </c>
      <c r="K89" s="940">
        <v>0</v>
      </c>
      <c r="L89" s="940">
        <v>0</v>
      </c>
      <c r="M89" s="940">
        <v>0</v>
      </c>
      <c r="N89" s="940">
        <v>0</v>
      </c>
      <c r="O89" s="940">
        <v>0</v>
      </c>
    </row>
    <row r="90" spans="1:15" ht="15.75" hidden="1">
      <c r="A90" s="507">
        <v>2</v>
      </c>
      <c r="B90" s="429" t="s">
        <v>132</v>
      </c>
      <c r="C90" s="843">
        <f t="shared" si="35"/>
        <v>37</v>
      </c>
      <c r="D90" s="940">
        <v>28</v>
      </c>
      <c r="E90" s="844">
        <f>F90+G90</f>
        <v>2</v>
      </c>
      <c r="F90" s="940">
        <v>0</v>
      </c>
      <c r="G90" s="940">
        <v>2</v>
      </c>
      <c r="H90" s="940">
        <v>0</v>
      </c>
      <c r="I90" s="940">
        <v>7</v>
      </c>
      <c r="J90" s="940">
        <v>0</v>
      </c>
      <c r="K90" s="940">
        <v>0</v>
      </c>
      <c r="L90" s="940">
        <v>0</v>
      </c>
      <c r="M90" s="940">
        <v>0</v>
      </c>
      <c r="N90" s="940">
        <v>0</v>
      </c>
      <c r="O90" s="940">
        <v>0</v>
      </c>
    </row>
    <row r="91" spans="1:15" ht="15.75" hidden="1">
      <c r="A91" s="508" t="s">
        <v>1</v>
      </c>
      <c r="B91" s="394" t="s">
        <v>133</v>
      </c>
      <c r="C91" s="843">
        <f t="shared" si="35"/>
        <v>3</v>
      </c>
      <c r="D91" s="940">
        <v>3</v>
      </c>
      <c r="E91" s="844">
        <f>F91+G91</f>
        <v>0</v>
      </c>
      <c r="F91" s="940">
        <v>0</v>
      </c>
      <c r="G91" s="940">
        <v>0</v>
      </c>
      <c r="H91" s="940">
        <v>0</v>
      </c>
      <c r="I91" s="940">
        <v>0</v>
      </c>
      <c r="J91" s="940">
        <v>0</v>
      </c>
      <c r="K91" s="940">
        <v>0</v>
      </c>
      <c r="L91" s="940">
        <v>0</v>
      </c>
      <c r="M91" s="940">
        <v>0</v>
      </c>
      <c r="N91" s="940">
        <v>0</v>
      </c>
      <c r="O91" s="940">
        <v>0</v>
      </c>
    </row>
    <row r="92" spans="1:15" ht="15.75" hidden="1">
      <c r="A92" s="508" t="s">
        <v>9</v>
      </c>
      <c r="B92" s="394" t="s">
        <v>134</v>
      </c>
      <c r="C92" s="843">
        <f t="shared" si="35"/>
        <v>0</v>
      </c>
      <c r="D92" s="842"/>
      <c r="E92" s="844"/>
      <c r="F92" s="940">
        <v>0</v>
      </c>
      <c r="G92" s="940">
        <v>0</v>
      </c>
      <c r="H92" s="940">
        <v>0</v>
      </c>
      <c r="I92" s="940">
        <v>0</v>
      </c>
      <c r="J92" s="940">
        <v>0</v>
      </c>
      <c r="K92" s="940">
        <v>0</v>
      </c>
      <c r="L92" s="940">
        <v>0</v>
      </c>
      <c r="M92" s="940">
        <v>0</v>
      </c>
      <c r="N92" s="940">
        <v>0</v>
      </c>
      <c r="O92" s="940">
        <v>0</v>
      </c>
    </row>
    <row r="93" spans="1:15" ht="15" hidden="1">
      <c r="A93" s="508" t="s">
        <v>135</v>
      </c>
      <c r="B93" s="394" t="s">
        <v>136</v>
      </c>
      <c r="C93" s="845">
        <f t="shared" si="35"/>
        <v>78</v>
      </c>
      <c r="D93" s="845">
        <f>D88-SUM(D91,D92)</f>
        <v>61</v>
      </c>
      <c r="E93" s="846">
        <f aca="true" t="shared" si="37" ref="E93:E99">SUM(F93:G93)</f>
        <v>5</v>
      </c>
      <c r="F93" s="845">
        <f aca="true" t="shared" si="38" ref="F93:O93">F88-SUM(F91,F92)</f>
        <v>0</v>
      </c>
      <c r="G93" s="845">
        <f t="shared" si="38"/>
        <v>5</v>
      </c>
      <c r="H93" s="845">
        <f t="shared" si="38"/>
        <v>0</v>
      </c>
      <c r="I93" s="845">
        <f t="shared" si="38"/>
        <v>12</v>
      </c>
      <c r="J93" s="845">
        <f t="shared" si="38"/>
        <v>0</v>
      </c>
      <c r="K93" s="845">
        <f t="shared" si="38"/>
        <v>0</v>
      </c>
      <c r="L93" s="845">
        <f t="shared" si="38"/>
        <v>0</v>
      </c>
      <c r="M93" s="845">
        <f t="shared" si="38"/>
        <v>0</v>
      </c>
      <c r="N93" s="845">
        <f t="shared" si="38"/>
        <v>0</v>
      </c>
      <c r="O93" s="845">
        <f t="shared" si="38"/>
        <v>0</v>
      </c>
    </row>
    <row r="94" spans="1:15" ht="15" hidden="1">
      <c r="A94" s="508" t="s">
        <v>51</v>
      </c>
      <c r="B94" s="394" t="s">
        <v>137</v>
      </c>
      <c r="C94" s="845">
        <f t="shared" si="35"/>
        <v>55</v>
      </c>
      <c r="D94" s="847">
        <f>SUM(D95:D101)</f>
        <v>44</v>
      </c>
      <c r="E94" s="846">
        <f t="shared" si="37"/>
        <v>2</v>
      </c>
      <c r="F94" s="847">
        <f aca="true" t="shared" si="39" ref="F94:N94">SUM(F95:F101)</f>
        <v>0</v>
      </c>
      <c r="G94" s="847">
        <f t="shared" si="39"/>
        <v>2</v>
      </c>
      <c r="H94" s="847">
        <f t="shared" si="39"/>
        <v>0</v>
      </c>
      <c r="I94" s="847">
        <f t="shared" si="39"/>
        <v>9</v>
      </c>
      <c r="J94" s="847">
        <f t="shared" si="39"/>
        <v>0</v>
      </c>
      <c r="K94" s="847">
        <f t="shared" si="39"/>
        <v>0</v>
      </c>
      <c r="L94" s="847">
        <f t="shared" si="39"/>
        <v>0</v>
      </c>
      <c r="M94" s="847">
        <f t="shared" si="39"/>
        <v>0</v>
      </c>
      <c r="N94" s="847">
        <f t="shared" si="39"/>
        <v>0</v>
      </c>
      <c r="O94" s="847">
        <f>SUM(O95:O101)</f>
        <v>0</v>
      </c>
    </row>
    <row r="95" spans="1:15" ht="15.75" hidden="1">
      <c r="A95" s="507" t="s">
        <v>53</v>
      </c>
      <c r="B95" s="429" t="s">
        <v>138</v>
      </c>
      <c r="C95" s="843">
        <f aca="true" t="shared" si="40" ref="C95:C102">D95+E95+H95+I95+J95+K95+L95+M95+N95+O95</f>
        <v>10</v>
      </c>
      <c r="D95" s="940">
        <v>8</v>
      </c>
      <c r="E95" s="848">
        <f t="shared" si="37"/>
        <v>0</v>
      </c>
      <c r="F95" s="1144">
        <v>0</v>
      </c>
      <c r="G95" s="1144">
        <v>0</v>
      </c>
      <c r="H95" s="1144">
        <v>0</v>
      </c>
      <c r="I95" s="1144">
        <v>2</v>
      </c>
      <c r="J95" s="1144">
        <v>0</v>
      </c>
      <c r="K95" s="1144">
        <v>0</v>
      </c>
      <c r="L95" s="1144">
        <v>0</v>
      </c>
      <c r="M95" s="1144">
        <v>0</v>
      </c>
      <c r="N95" s="1144">
        <v>0</v>
      </c>
      <c r="O95" s="1144">
        <v>0</v>
      </c>
    </row>
    <row r="96" spans="1:15" ht="0.75" customHeight="1" hidden="1">
      <c r="A96" s="507" t="s">
        <v>54</v>
      </c>
      <c r="B96" s="429" t="s">
        <v>139</v>
      </c>
      <c r="C96" s="843">
        <f t="shared" si="40"/>
        <v>2</v>
      </c>
      <c r="D96" s="940">
        <v>2</v>
      </c>
      <c r="E96" s="848">
        <f t="shared" si="37"/>
        <v>0</v>
      </c>
      <c r="F96" s="1144">
        <v>0</v>
      </c>
      <c r="G96" s="1144">
        <v>0</v>
      </c>
      <c r="H96" s="1144">
        <v>0</v>
      </c>
      <c r="I96" s="1144">
        <v>0</v>
      </c>
      <c r="J96" s="1144">
        <v>0</v>
      </c>
      <c r="K96" s="1144">
        <v>0</v>
      </c>
      <c r="L96" s="1144">
        <v>0</v>
      </c>
      <c r="M96" s="1144">
        <v>0</v>
      </c>
      <c r="N96" s="1144">
        <v>0</v>
      </c>
      <c r="O96" s="1144">
        <v>0</v>
      </c>
    </row>
    <row r="97" spans="1:15" ht="15.75" hidden="1">
      <c r="A97" s="507" t="s">
        <v>140</v>
      </c>
      <c r="B97" s="429" t="s">
        <v>141</v>
      </c>
      <c r="C97" s="843">
        <f t="shared" si="40"/>
        <v>40</v>
      </c>
      <c r="D97" s="940">
        <v>31</v>
      </c>
      <c r="E97" s="848">
        <f t="shared" si="37"/>
        <v>2</v>
      </c>
      <c r="F97" s="1144">
        <v>0</v>
      </c>
      <c r="G97" s="1144">
        <v>2</v>
      </c>
      <c r="H97" s="1144">
        <v>0</v>
      </c>
      <c r="I97" s="1144">
        <v>7</v>
      </c>
      <c r="J97" s="1144">
        <v>0</v>
      </c>
      <c r="K97" s="1144">
        <v>0</v>
      </c>
      <c r="L97" s="1144">
        <v>0</v>
      </c>
      <c r="M97" s="1144">
        <v>0</v>
      </c>
      <c r="N97" s="1144">
        <v>0</v>
      </c>
      <c r="O97" s="1144">
        <v>0</v>
      </c>
    </row>
    <row r="98" spans="1:15" ht="15.75" hidden="1">
      <c r="A98" s="507" t="s">
        <v>142</v>
      </c>
      <c r="B98" s="429" t="s">
        <v>143</v>
      </c>
      <c r="C98" s="843">
        <f t="shared" si="40"/>
        <v>2</v>
      </c>
      <c r="D98" s="940">
        <v>2</v>
      </c>
      <c r="E98" s="848">
        <f t="shared" si="37"/>
        <v>0</v>
      </c>
      <c r="F98" s="1144">
        <v>0</v>
      </c>
      <c r="G98" s="1144">
        <v>0</v>
      </c>
      <c r="H98" s="1144">
        <v>0</v>
      </c>
      <c r="I98" s="1144">
        <v>0</v>
      </c>
      <c r="J98" s="1144">
        <v>0</v>
      </c>
      <c r="K98" s="1144">
        <v>0</v>
      </c>
      <c r="L98" s="1144">
        <v>0</v>
      </c>
      <c r="M98" s="1144">
        <v>0</v>
      </c>
      <c r="N98" s="1144">
        <v>0</v>
      </c>
      <c r="O98" s="1144">
        <v>0</v>
      </c>
    </row>
    <row r="99" spans="1:15" ht="15.75" hidden="1">
      <c r="A99" s="507" t="s">
        <v>144</v>
      </c>
      <c r="B99" s="429" t="s">
        <v>145</v>
      </c>
      <c r="C99" s="843">
        <f t="shared" si="40"/>
        <v>0</v>
      </c>
      <c r="D99" s="940">
        <v>0</v>
      </c>
      <c r="E99" s="848">
        <f t="shared" si="37"/>
        <v>0</v>
      </c>
      <c r="F99" s="1144">
        <v>0</v>
      </c>
      <c r="G99" s="1144">
        <v>0</v>
      </c>
      <c r="H99" s="1144">
        <v>0</v>
      </c>
      <c r="I99" s="1144">
        <v>0</v>
      </c>
      <c r="J99" s="1144">
        <v>0</v>
      </c>
      <c r="K99" s="1144">
        <v>0</v>
      </c>
      <c r="L99" s="1144">
        <v>0</v>
      </c>
      <c r="M99" s="1144">
        <v>0</v>
      </c>
      <c r="N99" s="1144">
        <v>0</v>
      </c>
      <c r="O99" s="1144">
        <v>0</v>
      </c>
    </row>
    <row r="100" spans="1:15" ht="25.5" hidden="1">
      <c r="A100" s="507" t="s">
        <v>146</v>
      </c>
      <c r="B100" s="431" t="s">
        <v>147</v>
      </c>
      <c r="C100" s="843">
        <f t="shared" si="40"/>
        <v>0</v>
      </c>
      <c r="D100" s="940">
        <v>0</v>
      </c>
      <c r="E100" s="848">
        <f>SUM(F100:G100)</f>
        <v>0</v>
      </c>
      <c r="F100" s="1144">
        <v>0</v>
      </c>
      <c r="G100" s="1144">
        <v>0</v>
      </c>
      <c r="H100" s="1144">
        <v>0</v>
      </c>
      <c r="I100" s="1144">
        <v>0</v>
      </c>
      <c r="J100" s="1144">
        <v>0</v>
      </c>
      <c r="K100" s="1144">
        <v>0</v>
      </c>
      <c r="L100" s="1144">
        <v>0</v>
      </c>
      <c r="M100" s="1144">
        <v>0</v>
      </c>
      <c r="N100" s="1144">
        <v>0</v>
      </c>
      <c r="O100" s="1144">
        <v>0</v>
      </c>
    </row>
    <row r="101" spans="1:15" ht="15.75" hidden="1">
      <c r="A101" s="507" t="s">
        <v>148</v>
      </c>
      <c r="B101" s="429" t="s">
        <v>149</v>
      </c>
      <c r="C101" s="843">
        <f t="shared" si="40"/>
        <v>1</v>
      </c>
      <c r="D101" s="940">
        <v>1</v>
      </c>
      <c r="E101" s="848">
        <f>SUM(F101:G101)</f>
        <v>0</v>
      </c>
      <c r="F101" s="1144">
        <v>0</v>
      </c>
      <c r="G101" s="1144">
        <v>0</v>
      </c>
      <c r="H101" s="1144">
        <v>0</v>
      </c>
      <c r="I101" s="1144">
        <v>0</v>
      </c>
      <c r="J101" s="1144">
        <v>0</v>
      </c>
      <c r="K101" s="1144">
        <v>0</v>
      </c>
      <c r="L101" s="1144">
        <v>0</v>
      </c>
      <c r="M101" s="1144">
        <v>0</v>
      </c>
      <c r="N101" s="1144">
        <v>0</v>
      </c>
      <c r="O101" s="1144">
        <v>0</v>
      </c>
    </row>
    <row r="102" spans="1:15" ht="15" hidden="1">
      <c r="A102" s="508" t="s">
        <v>52</v>
      </c>
      <c r="B102" s="394" t="s">
        <v>150</v>
      </c>
      <c r="C102" s="806">
        <f t="shared" si="40"/>
        <v>23</v>
      </c>
      <c r="D102" s="806">
        <f>D93-D94</f>
        <v>17</v>
      </c>
      <c r="E102" s="814">
        <f>SUM(F102:G102)</f>
        <v>3</v>
      </c>
      <c r="F102" s="806">
        <f>F93-F94</f>
        <v>0</v>
      </c>
      <c r="G102" s="806">
        <f>G93-G94</f>
        <v>3</v>
      </c>
      <c r="H102" s="806">
        <f>H93-H94</f>
        <v>0</v>
      </c>
      <c r="I102" s="806">
        <f aca="true" t="shared" si="41" ref="I102:N102">I93-I94</f>
        <v>3</v>
      </c>
      <c r="J102" s="806">
        <f t="shared" si="41"/>
        <v>0</v>
      </c>
      <c r="K102" s="806">
        <f t="shared" si="41"/>
        <v>0</v>
      </c>
      <c r="L102" s="806">
        <f t="shared" si="41"/>
        <v>0</v>
      </c>
      <c r="M102" s="806">
        <f t="shared" si="41"/>
        <v>0</v>
      </c>
      <c r="N102" s="806">
        <f t="shared" si="41"/>
        <v>0</v>
      </c>
      <c r="O102" s="806">
        <f>O88-O94</f>
        <v>0</v>
      </c>
    </row>
    <row r="103" spans="1:15" ht="25.5" hidden="1">
      <c r="A103" s="509" t="s">
        <v>540</v>
      </c>
      <c r="B103" s="432" t="s">
        <v>151</v>
      </c>
      <c r="C103" s="516">
        <f>(C95+C96)/C94</f>
        <v>0.21818181818181817</v>
      </c>
      <c r="D103" s="516">
        <f aca="true" t="shared" si="42" ref="D103:O103">(D95+D96)/D94</f>
        <v>0.22727272727272727</v>
      </c>
      <c r="E103" s="516">
        <f t="shared" si="42"/>
        <v>0</v>
      </c>
      <c r="F103" s="516" t="e">
        <f t="shared" si="42"/>
        <v>#DIV/0!</v>
      </c>
      <c r="G103" s="516">
        <f t="shared" si="42"/>
        <v>0</v>
      </c>
      <c r="H103" s="516" t="e">
        <f t="shared" si="42"/>
        <v>#DIV/0!</v>
      </c>
      <c r="I103" s="516">
        <f t="shared" si="42"/>
        <v>0.2222222222222222</v>
      </c>
      <c r="J103" s="516" t="e">
        <f t="shared" si="42"/>
        <v>#DIV/0!</v>
      </c>
      <c r="K103" s="516" t="e">
        <f t="shared" si="42"/>
        <v>#DIV/0!</v>
      </c>
      <c r="L103" s="516" t="e">
        <f t="shared" si="42"/>
        <v>#DIV/0!</v>
      </c>
      <c r="M103" s="516" t="e">
        <f t="shared" si="42"/>
        <v>#DIV/0!</v>
      </c>
      <c r="N103" s="516" t="e">
        <f t="shared" si="42"/>
        <v>#DIV/0!</v>
      </c>
      <c r="O103" s="516" t="e">
        <f t="shared" si="42"/>
        <v>#DIV/0!</v>
      </c>
    </row>
    <row r="104" ht="15" hidden="1"/>
    <row r="105" ht="15" hidden="1">
      <c r="B105" s="1020" t="s">
        <v>745</v>
      </c>
    </row>
    <row r="106" spans="1:15" ht="15" hidden="1">
      <c r="A106" s="1501" t="s">
        <v>68</v>
      </c>
      <c r="B106" s="1501"/>
      <c r="C106" s="1501" t="s">
        <v>37</v>
      </c>
      <c r="D106" s="1501" t="s">
        <v>335</v>
      </c>
      <c r="E106" s="1501"/>
      <c r="F106" s="1501"/>
      <c r="G106" s="1501"/>
      <c r="H106" s="1501"/>
      <c r="I106" s="1501"/>
      <c r="J106" s="1501"/>
      <c r="K106" s="1501"/>
      <c r="L106" s="1501"/>
      <c r="M106" s="1501"/>
      <c r="N106" s="1501"/>
      <c r="O106" s="1501"/>
    </row>
    <row r="107" spans="1:15" ht="15" hidden="1">
      <c r="A107" s="1501"/>
      <c r="B107" s="1501"/>
      <c r="C107" s="1501"/>
      <c r="D107" s="1518" t="s">
        <v>119</v>
      </c>
      <c r="E107" s="1516" t="s">
        <v>120</v>
      </c>
      <c r="F107" s="1516"/>
      <c r="G107" s="1516"/>
      <c r="H107" s="1516" t="s">
        <v>121</v>
      </c>
      <c r="I107" s="1516" t="s">
        <v>122</v>
      </c>
      <c r="J107" s="1516" t="s">
        <v>123</v>
      </c>
      <c r="K107" s="1516" t="s">
        <v>124</v>
      </c>
      <c r="L107" s="1516" t="s">
        <v>125</v>
      </c>
      <c r="M107" s="1516" t="s">
        <v>126</v>
      </c>
      <c r="N107" s="1516" t="s">
        <v>183</v>
      </c>
      <c r="O107" s="1516" t="s">
        <v>127</v>
      </c>
    </row>
    <row r="108" spans="1:15" ht="15" hidden="1">
      <c r="A108" s="1501"/>
      <c r="B108" s="1501"/>
      <c r="C108" s="1501"/>
      <c r="D108" s="1518"/>
      <c r="E108" s="1516" t="s">
        <v>36</v>
      </c>
      <c r="F108" s="1516" t="s">
        <v>7</v>
      </c>
      <c r="G108" s="1516"/>
      <c r="H108" s="1516"/>
      <c r="I108" s="1516"/>
      <c r="J108" s="1516"/>
      <c r="K108" s="1516"/>
      <c r="L108" s="1516"/>
      <c r="M108" s="1516"/>
      <c r="N108" s="1516"/>
      <c r="O108" s="1516"/>
    </row>
    <row r="109" spans="1:15" ht="30" hidden="1">
      <c r="A109" s="1501"/>
      <c r="B109" s="1501"/>
      <c r="C109" s="1501"/>
      <c r="D109" s="1518"/>
      <c r="E109" s="1516"/>
      <c r="F109" s="560" t="s">
        <v>128</v>
      </c>
      <c r="G109" s="560" t="s">
        <v>129</v>
      </c>
      <c r="H109" s="1516"/>
      <c r="I109" s="1516"/>
      <c r="J109" s="1516"/>
      <c r="K109" s="1516"/>
      <c r="L109" s="1516"/>
      <c r="M109" s="1516"/>
      <c r="N109" s="1516"/>
      <c r="O109" s="1516"/>
    </row>
    <row r="110" spans="1:15" ht="15" hidden="1">
      <c r="A110" s="1517" t="s">
        <v>39</v>
      </c>
      <c r="B110" s="1517"/>
      <c r="C110" s="517">
        <v>1</v>
      </c>
      <c r="D110" s="517">
        <v>2</v>
      </c>
      <c r="E110" s="517">
        <v>3</v>
      </c>
      <c r="F110" s="517">
        <v>4</v>
      </c>
      <c r="G110" s="517">
        <v>5</v>
      </c>
      <c r="H110" s="517">
        <v>6</v>
      </c>
      <c r="I110" s="517">
        <v>7</v>
      </c>
      <c r="J110" s="517">
        <v>8</v>
      </c>
      <c r="K110" s="517">
        <v>9</v>
      </c>
      <c r="L110" s="517">
        <v>10</v>
      </c>
      <c r="M110" s="517">
        <v>11</v>
      </c>
      <c r="N110" s="517">
        <v>12</v>
      </c>
      <c r="O110" s="517">
        <v>13</v>
      </c>
    </row>
    <row r="111" spans="1:15" ht="15" hidden="1">
      <c r="A111" s="508" t="s">
        <v>0</v>
      </c>
      <c r="B111" s="438" t="s">
        <v>130</v>
      </c>
      <c r="C111" s="806">
        <f aca="true" t="shared" si="43" ref="C111:C117">SUM(D111,E111,H111:O111)</f>
        <v>127</v>
      </c>
      <c r="D111" s="814">
        <f aca="true" t="shared" si="44" ref="D111:O111">SUM(D112:D113)</f>
        <v>79</v>
      </c>
      <c r="E111" s="814">
        <f t="shared" si="44"/>
        <v>12</v>
      </c>
      <c r="F111" s="814">
        <f t="shared" si="44"/>
        <v>0</v>
      </c>
      <c r="G111" s="814">
        <f t="shared" si="44"/>
        <v>12</v>
      </c>
      <c r="H111" s="814">
        <f t="shared" si="44"/>
        <v>0</v>
      </c>
      <c r="I111" s="814">
        <f t="shared" si="44"/>
        <v>36</v>
      </c>
      <c r="J111" s="814">
        <f t="shared" si="44"/>
        <v>0</v>
      </c>
      <c r="K111" s="814">
        <f t="shared" si="44"/>
        <v>0</v>
      </c>
      <c r="L111" s="814">
        <f t="shared" si="44"/>
        <v>0</v>
      </c>
      <c r="M111" s="814">
        <f t="shared" si="44"/>
        <v>0</v>
      </c>
      <c r="N111" s="814">
        <f t="shared" si="44"/>
        <v>0</v>
      </c>
      <c r="O111" s="814">
        <f t="shared" si="44"/>
        <v>0</v>
      </c>
    </row>
    <row r="112" spans="1:15" ht="15" hidden="1">
      <c r="A112" s="507">
        <v>1</v>
      </c>
      <c r="B112" s="429" t="s">
        <v>131</v>
      </c>
      <c r="C112" s="843">
        <f t="shared" si="43"/>
        <v>90</v>
      </c>
      <c r="D112" s="841">
        <v>65</v>
      </c>
      <c r="E112" s="844">
        <f>F112+G112</f>
        <v>8</v>
      </c>
      <c r="F112" s="841">
        <v>0</v>
      </c>
      <c r="G112" s="841">
        <v>8</v>
      </c>
      <c r="H112" s="841">
        <v>0</v>
      </c>
      <c r="I112" s="841">
        <v>17</v>
      </c>
      <c r="J112" s="841">
        <v>0</v>
      </c>
      <c r="K112" s="841">
        <v>0</v>
      </c>
      <c r="L112" s="841">
        <v>0</v>
      </c>
      <c r="M112" s="841">
        <v>0</v>
      </c>
      <c r="N112" s="841">
        <v>0</v>
      </c>
      <c r="O112" s="841">
        <v>0</v>
      </c>
    </row>
    <row r="113" spans="1:15" ht="15" hidden="1">
      <c r="A113" s="507">
        <v>2</v>
      </c>
      <c r="B113" s="429" t="s">
        <v>132</v>
      </c>
      <c r="C113" s="843">
        <f t="shared" si="43"/>
        <v>37</v>
      </c>
      <c r="D113" s="841">
        <v>14</v>
      </c>
      <c r="E113" s="844">
        <f>F113+G113</f>
        <v>4</v>
      </c>
      <c r="F113" s="841">
        <v>0</v>
      </c>
      <c r="G113" s="841">
        <v>4</v>
      </c>
      <c r="H113" s="841">
        <v>0</v>
      </c>
      <c r="I113" s="841">
        <v>19</v>
      </c>
      <c r="J113" s="841">
        <v>0</v>
      </c>
      <c r="K113" s="841">
        <v>0</v>
      </c>
      <c r="L113" s="841">
        <v>0</v>
      </c>
      <c r="M113" s="841">
        <v>0</v>
      </c>
      <c r="N113" s="841">
        <v>0</v>
      </c>
      <c r="O113" s="841">
        <v>0</v>
      </c>
    </row>
    <row r="114" spans="1:15" ht="15" hidden="1">
      <c r="A114" s="508" t="s">
        <v>1</v>
      </c>
      <c r="B114" s="394" t="s">
        <v>133</v>
      </c>
      <c r="C114" s="843">
        <f t="shared" si="43"/>
        <v>1</v>
      </c>
      <c r="D114" s="841">
        <v>1</v>
      </c>
      <c r="E114" s="844">
        <f>F114+G114</f>
        <v>0</v>
      </c>
      <c r="F114" s="406">
        <v>0</v>
      </c>
      <c r="G114" s="406">
        <v>0</v>
      </c>
      <c r="H114" s="406">
        <v>0</v>
      </c>
      <c r="I114" s="406"/>
      <c r="J114" s="406">
        <v>0</v>
      </c>
      <c r="K114" s="406">
        <v>0</v>
      </c>
      <c r="L114" s="406">
        <v>0</v>
      </c>
      <c r="M114" s="406">
        <v>0</v>
      </c>
      <c r="N114" s="406">
        <v>0</v>
      </c>
      <c r="O114" s="406">
        <v>0</v>
      </c>
    </row>
    <row r="115" spans="1:15" ht="15" hidden="1">
      <c r="A115" s="508" t="s">
        <v>9</v>
      </c>
      <c r="B115" s="394" t="s">
        <v>134</v>
      </c>
      <c r="C115" s="843">
        <f t="shared" si="43"/>
        <v>0</v>
      </c>
      <c r="D115" s="842"/>
      <c r="E115" s="844"/>
      <c r="F115" s="842"/>
      <c r="G115" s="842"/>
      <c r="H115" s="842"/>
      <c r="I115" s="842"/>
      <c r="J115" s="842"/>
      <c r="K115" s="842"/>
      <c r="L115" s="842"/>
      <c r="M115" s="842"/>
      <c r="N115" s="842"/>
      <c r="O115" s="842"/>
    </row>
    <row r="116" spans="1:15" ht="15" hidden="1">
      <c r="A116" s="508" t="s">
        <v>135</v>
      </c>
      <c r="B116" s="394" t="s">
        <v>136</v>
      </c>
      <c r="C116" s="845">
        <f t="shared" si="43"/>
        <v>126</v>
      </c>
      <c r="D116" s="845">
        <f>D111-SUM(D114,D115)</f>
        <v>78</v>
      </c>
      <c r="E116" s="846">
        <f aca="true" t="shared" si="45" ref="E116:E122">SUM(F116:G116)</f>
        <v>12</v>
      </c>
      <c r="F116" s="845">
        <f aca="true" t="shared" si="46" ref="F116:O116">F111-SUM(F114,F115)</f>
        <v>0</v>
      </c>
      <c r="G116" s="845">
        <f t="shared" si="46"/>
        <v>12</v>
      </c>
      <c r="H116" s="845">
        <f t="shared" si="46"/>
        <v>0</v>
      </c>
      <c r="I116" s="845">
        <f t="shared" si="46"/>
        <v>36</v>
      </c>
      <c r="J116" s="845">
        <f t="shared" si="46"/>
        <v>0</v>
      </c>
      <c r="K116" s="845">
        <f t="shared" si="46"/>
        <v>0</v>
      </c>
      <c r="L116" s="845">
        <f t="shared" si="46"/>
        <v>0</v>
      </c>
      <c r="M116" s="845">
        <f t="shared" si="46"/>
        <v>0</v>
      </c>
      <c r="N116" s="845">
        <f t="shared" si="46"/>
        <v>0</v>
      </c>
      <c r="O116" s="845">
        <f t="shared" si="46"/>
        <v>0</v>
      </c>
    </row>
    <row r="117" spans="1:15" ht="15" hidden="1">
      <c r="A117" s="508" t="s">
        <v>51</v>
      </c>
      <c r="B117" s="394" t="s">
        <v>137</v>
      </c>
      <c r="C117" s="845">
        <f t="shared" si="43"/>
        <v>87</v>
      </c>
      <c r="D117" s="847">
        <f>SUM(D118:D124)</f>
        <v>53</v>
      </c>
      <c r="E117" s="846">
        <f t="shared" si="45"/>
        <v>4</v>
      </c>
      <c r="F117" s="847">
        <f aca="true" t="shared" si="47" ref="F117:N117">SUM(F118:F124)</f>
        <v>0</v>
      </c>
      <c r="G117" s="847">
        <f t="shared" si="47"/>
        <v>4</v>
      </c>
      <c r="H117" s="847">
        <f t="shared" si="47"/>
        <v>0</v>
      </c>
      <c r="I117" s="847">
        <f t="shared" si="47"/>
        <v>30</v>
      </c>
      <c r="J117" s="847">
        <f t="shared" si="47"/>
        <v>0</v>
      </c>
      <c r="K117" s="847">
        <f t="shared" si="47"/>
        <v>0</v>
      </c>
      <c r="L117" s="847">
        <f t="shared" si="47"/>
        <v>0</v>
      </c>
      <c r="M117" s="847">
        <f t="shared" si="47"/>
        <v>0</v>
      </c>
      <c r="N117" s="847">
        <f t="shared" si="47"/>
        <v>0</v>
      </c>
      <c r="O117" s="847">
        <f>SUM(O118:O124)</f>
        <v>0</v>
      </c>
    </row>
    <row r="118" spans="1:15" ht="15" hidden="1">
      <c r="A118" s="507" t="s">
        <v>53</v>
      </c>
      <c r="B118" s="429" t="s">
        <v>138</v>
      </c>
      <c r="C118" s="843">
        <f aca="true" t="shared" si="48" ref="C118:C125">D118+E118+H118+I118+J118+K118+L118+M118+N118+O118</f>
        <v>21</v>
      </c>
      <c r="D118" s="841">
        <v>5</v>
      </c>
      <c r="E118" s="848">
        <f t="shared" si="45"/>
        <v>1</v>
      </c>
      <c r="F118" s="841">
        <v>0</v>
      </c>
      <c r="G118" s="841">
        <v>1</v>
      </c>
      <c r="H118" s="841">
        <v>0</v>
      </c>
      <c r="I118" s="841">
        <v>15</v>
      </c>
      <c r="J118" s="841">
        <v>0</v>
      </c>
      <c r="K118" s="841">
        <v>0</v>
      </c>
      <c r="L118" s="841">
        <v>0</v>
      </c>
      <c r="M118" s="841">
        <v>0</v>
      </c>
      <c r="N118" s="841">
        <v>0</v>
      </c>
      <c r="O118" s="841">
        <v>0</v>
      </c>
    </row>
    <row r="119" spans="1:15" ht="15" hidden="1">
      <c r="A119" s="507" t="s">
        <v>54</v>
      </c>
      <c r="B119" s="429" t="s">
        <v>139</v>
      </c>
      <c r="C119" s="843">
        <f t="shared" si="48"/>
        <v>1</v>
      </c>
      <c r="D119" s="841">
        <v>1</v>
      </c>
      <c r="E119" s="848">
        <f t="shared" si="45"/>
        <v>0</v>
      </c>
      <c r="F119" s="841">
        <v>0</v>
      </c>
      <c r="G119" s="841">
        <v>0</v>
      </c>
      <c r="H119" s="841">
        <v>0</v>
      </c>
      <c r="I119" s="841">
        <v>0</v>
      </c>
      <c r="J119" s="841">
        <v>0</v>
      </c>
      <c r="K119" s="841">
        <v>0</v>
      </c>
      <c r="L119" s="841">
        <v>0</v>
      </c>
      <c r="M119" s="841">
        <v>0</v>
      </c>
      <c r="N119" s="841">
        <v>0</v>
      </c>
      <c r="O119" s="841">
        <v>0</v>
      </c>
    </row>
    <row r="120" spans="1:15" ht="15" hidden="1">
      <c r="A120" s="507" t="s">
        <v>140</v>
      </c>
      <c r="B120" s="429" t="s">
        <v>141</v>
      </c>
      <c r="C120" s="843">
        <f t="shared" si="48"/>
        <v>58</v>
      </c>
      <c r="D120" s="841">
        <v>40</v>
      </c>
      <c r="E120" s="848">
        <f t="shared" si="45"/>
        <v>3</v>
      </c>
      <c r="F120" s="841">
        <v>0</v>
      </c>
      <c r="G120" s="841">
        <v>3</v>
      </c>
      <c r="H120" s="841">
        <v>0</v>
      </c>
      <c r="I120" s="841">
        <v>15</v>
      </c>
      <c r="J120" s="841">
        <v>0</v>
      </c>
      <c r="K120" s="841">
        <v>0</v>
      </c>
      <c r="L120" s="841">
        <v>0</v>
      </c>
      <c r="M120" s="841">
        <v>0</v>
      </c>
      <c r="N120" s="841">
        <v>0</v>
      </c>
      <c r="O120" s="841">
        <v>0</v>
      </c>
    </row>
    <row r="121" spans="1:15" ht="15" hidden="1">
      <c r="A121" s="507" t="s">
        <v>142</v>
      </c>
      <c r="B121" s="429" t="s">
        <v>143</v>
      </c>
      <c r="C121" s="843">
        <f t="shared" si="48"/>
        <v>6</v>
      </c>
      <c r="D121" s="841">
        <v>6</v>
      </c>
      <c r="E121" s="848">
        <f t="shared" si="45"/>
        <v>0</v>
      </c>
      <c r="F121" s="841"/>
      <c r="G121" s="841"/>
      <c r="H121" s="841"/>
      <c r="I121" s="841"/>
      <c r="J121" s="406">
        <v>0</v>
      </c>
      <c r="K121" s="406">
        <v>0</v>
      </c>
      <c r="L121" s="406">
        <v>0</v>
      </c>
      <c r="M121" s="406">
        <v>0</v>
      </c>
      <c r="N121" s="406">
        <v>0</v>
      </c>
      <c r="O121" s="406">
        <v>0</v>
      </c>
    </row>
    <row r="122" spans="1:15" ht="15" hidden="1">
      <c r="A122" s="507" t="s">
        <v>144</v>
      </c>
      <c r="B122" s="429" t="s">
        <v>145</v>
      </c>
      <c r="C122" s="843">
        <f t="shared" si="48"/>
        <v>0</v>
      </c>
      <c r="D122" s="841">
        <v>0</v>
      </c>
      <c r="E122" s="848">
        <f t="shared" si="45"/>
        <v>0</v>
      </c>
      <c r="F122" s="406">
        <v>0</v>
      </c>
      <c r="G122" s="406">
        <v>0</v>
      </c>
      <c r="H122" s="406">
        <v>0</v>
      </c>
      <c r="I122" s="406">
        <v>0</v>
      </c>
      <c r="J122" s="406">
        <v>0</v>
      </c>
      <c r="K122" s="406">
        <v>0</v>
      </c>
      <c r="L122" s="406">
        <v>0</v>
      </c>
      <c r="M122" s="406">
        <v>0</v>
      </c>
      <c r="N122" s="406">
        <v>0</v>
      </c>
      <c r="O122" s="406">
        <v>0</v>
      </c>
    </row>
    <row r="123" spans="1:15" ht="25.5" hidden="1">
      <c r="A123" s="507" t="s">
        <v>146</v>
      </c>
      <c r="B123" s="431" t="s">
        <v>147</v>
      </c>
      <c r="C123" s="843">
        <f t="shared" si="48"/>
        <v>0</v>
      </c>
      <c r="D123" s="841">
        <v>0</v>
      </c>
      <c r="E123" s="848">
        <f>SUM(F123:G123)</f>
        <v>0</v>
      </c>
      <c r="F123" s="406">
        <v>0</v>
      </c>
      <c r="G123" s="406">
        <v>0</v>
      </c>
      <c r="H123" s="406">
        <v>0</v>
      </c>
      <c r="I123" s="406">
        <v>0</v>
      </c>
      <c r="J123" s="406">
        <v>0</v>
      </c>
      <c r="K123" s="406">
        <v>0</v>
      </c>
      <c r="L123" s="406">
        <v>0</v>
      </c>
      <c r="M123" s="406">
        <v>0</v>
      </c>
      <c r="N123" s="406">
        <v>0</v>
      </c>
      <c r="O123" s="406">
        <v>0</v>
      </c>
    </row>
    <row r="124" spans="1:15" ht="15" hidden="1">
      <c r="A124" s="507" t="s">
        <v>148</v>
      </c>
      <c r="B124" s="429" t="s">
        <v>149</v>
      </c>
      <c r="C124" s="843">
        <f t="shared" si="48"/>
        <v>1</v>
      </c>
      <c r="D124" s="841">
        <v>1</v>
      </c>
      <c r="E124" s="848">
        <f>SUM(F124:G124)</f>
        <v>0</v>
      </c>
      <c r="F124" s="406">
        <v>0</v>
      </c>
      <c r="G124" s="406">
        <v>0</v>
      </c>
      <c r="H124" s="406">
        <v>0</v>
      </c>
      <c r="I124" s="406">
        <v>0</v>
      </c>
      <c r="J124" s="406">
        <v>0</v>
      </c>
      <c r="K124" s="406">
        <v>0</v>
      </c>
      <c r="L124" s="406">
        <v>0</v>
      </c>
      <c r="M124" s="406">
        <v>0</v>
      </c>
      <c r="N124" s="406">
        <v>0</v>
      </c>
      <c r="O124" s="406">
        <v>0</v>
      </c>
    </row>
    <row r="125" spans="1:15" ht="15" hidden="1">
      <c r="A125" s="508" t="s">
        <v>52</v>
      </c>
      <c r="B125" s="394" t="s">
        <v>150</v>
      </c>
      <c r="C125" s="806">
        <f t="shared" si="48"/>
        <v>39</v>
      </c>
      <c r="D125" s="806">
        <f>D116-D117</f>
        <v>25</v>
      </c>
      <c r="E125" s="814">
        <f>SUM(F125:G125)</f>
        <v>8</v>
      </c>
      <c r="F125" s="806">
        <f>F116-F117</f>
        <v>0</v>
      </c>
      <c r="G125" s="806">
        <f>G116-G117</f>
        <v>8</v>
      </c>
      <c r="H125" s="806">
        <f>H116-H117</f>
        <v>0</v>
      </c>
      <c r="I125" s="806">
        <f aca="true" t="shared" si="49" ref="I125:N125">I116-I117</f>
        <v>6</v>
      </c>
      <c r="J125" s="806">
        <f t="shared" si="49"/>
        <v>0</v>
      </c>
      <c r="K125" s="806">
        <f t="shared" si="49"/>
        <v>0</v>
      </c>
      <c r="L125" s="806">
        <f t="shared" si="49"/>
        <v>0</v>
      </c>
      <c r="M125" s="806">
        <f t="shared" si="49"/>
        <v>0</v>
      </c>
      <c r="N125" s="806">
        <f t="shared" si="49"/>
        <v>0</v>
      </c>
      <c r="O125" s="806">
        <f>O111-O117</f>
        <v>0</v>
      </c>
    </row>
    <row r="126" spans="1:15" ht="25.5" hidden="1">
      <c r="A126" s="509" t="s">
        <v>540</v>
      </c>
      <c r="B126" s="432" t="s">
        <v>151</v>
      </c>
      <c r="C126" s="516">
        <f>(C118+C119)/C117</f>
        <v>0.25287356321839083</v>
      </c>
      <c r="D126" s="516">
        <f aca="true" t="shared" si="50" ref="D126:O126">(D118+D119)/D117</f>
        <v>0.11320754716981132</v>
      </c>
      <c r="E126" s="516">
        <f t="shared" si="50"/>
        <v>0.25</v>
      </c>
      <c r="F126" s="516" t="e">
        <f t="shared" si="50"/>
        <v>#DIV/0!</v>
      </c>
      <c r="G126" s="516">
        <f t="shared" si="50"/>
        <v>0.25</v>
      </c>
      <c r="H126" s="516" t="e">
        <f t="shared" si="50"/>
        <v>#DIV/0!</v>
      </c>
      <c r="I126" s="516">
        <f t="shared" si="50"/>
        <v>0.5</v>
      </c>
      <c r="J126" s="516" t="e">
        <f t="shared" si="50"/>
        <v>#DIV/0!</v>
      </c>
      <c r="K126" s="516" t="e">
        <f t="shared" si="50"/>
        <v>#DIV/0!</v>
      </c>
      <c r="L126" s="516" t="e">
        <f t="shared" si="50"/>
        <v>#DIV/0!</v>
      </c>
      <c r="M126" s="516" t="e">
        <f t="shared" si="50"/>
        <v>#DIV/0!</v>
      </c>
      <c r="N126" s="516" t="e">
        <f t="shared" si="50"/>
        <v>#DIV/0!</v>
      </c>
      <c r="O126" s="516" t="e">
        <f t="shared" si="50"/>
        <v>#DIV/0!</v>
      </c>
    </row>
    <row r="127" ht="15" hidden="1"/>
    <row r="128" ht="15" hidden="1">
      <c r="B128" s="1020" t="s">
        <v>746</v>
      </c>
    </row>
    <row r="129" spans="1:15" ht="15" hidden="1">
      <c r="A129" s="1501" t="s">
        <v>68</v>
      </c>
      <c r="B129" s="1501"/>
      <c r="C129" s="1501" t="s">
        <v>37</v>
      </c>
      <c r="D129" s="1501" t="s">
        <v>335</v>
      </c>
      <c r="E129" s="1501"/>
      <c r="F129" s="1501"/>
      <c r="G129" s="1501"/>
      <c r="H129" s="1501"/>
      <c r="I129" s="1501"/>
      <c r="J129" s="1501"/>
      <c r="K129" s="1501"/>
      <c r="L129" s="1501"/>
      <c r="M129" s="1501"/>
      <c r="N129" s="1501"/>
      <c r="O129" s="1501"/>
    </row>
    <row r="130" spans="1:15" ht="15" hidden="1">
      <c r="A130" s="1501"/>
      <c r="B130" s="1501"/>
      <c r="C130" s="1501"/>
      <c r="D130" s="1518" t="s">
        <v>119</v>
      </c>
      <c r="E130" s="1516" t="s">
        <v>120</v>
      </c>
      <c r="F130" s="1516"/>
      <c r="G130" s="1516"/>
      <c r="H130" s="1516" t="s">
        <v>121</v>
      </c>
      <c r="I130" s="1516" t="s">
        <v>122</v>
      </c>
      <c r="J130" s="1516" t="s">
        <v>123</v>
      </c>
      <c r="K130" s="1516" t="s">
        <v>124</v>
      </c>
      <c r="L130" s="1516" t="s">
        <v>125</v>
      </c>
      <c r="M130" s="1516" t="s">
        <v>126</v>
      </c>
      <c r="N130" s="1516" t="s">
        <v>183</v>
      </c>
      <c r="O130" s="1516" t="s">
        <v>127</v>
      </c>
    </row>
    <row r="131" spans="1:15" ht="15" hidden="1">
      <c r="A131" s="1501"/>
      <c r="B131" s="1501"/>
      <c r="C131" s="1501"/>
      <c r="D131" s="1518"/>
      <c r="E131" s="1516" t="s">
        <v>36</v>
      </c>
      <c r="F131" s="1516" t="s">
        <v>7</v>
      </c>
      <c r="G131" s="1516"/>
      <c r="H131" s="1516"/>
      <c r="I131" s="1516"/>
      <c r="J131" s="1516"/>
      <c r="K131" s="1516"/>
      <c r="L131" s="1516"/>
      <c r="M131" s="1516"/>
      <c r="N131" s="1516"/>
      <c r="O131" s="1516"/>
    </row>
    <row r="132" spans="1:15" ht="30" hidden="1">
      <c r="A132" s="1501"/>
      <c r="B132" s="1501"/>
      <c r="C132" s="1501"/>
      <c r="D132" s="1518"/>
      <c r="E132" s="1516"/>
      <c r="F132" s="560" t="s">
        <v>128</v>
      </c>
      <c r="G132" s="560" t="s">
        <v>129</v>
      </c>
      <c r="H132" s="1516"/>
      <c r="I132" s="1516"/>
      <c r="J132" s="1516"/>
      <c r="K132" s="1516"/>
      <c r="L132" s="1516"/>
      <c r="M132" s="1516"/>
      <c r="N132" s="1516"/>
      <c r="O132" s="1516"/>
    </row>
    <row r="133" spans="1:15" ht="0.75" customHeight="1" hidden="1">
      <c r="A133" s="1517" t="s">
        <v>39</v>
      </c>
      <c r="B133" s="1517"/>
      <c r="C133" s="517">
        <v>1</v>
      </c>
      <c r="D133" s="517">
        <v>2</v>
      </c>
      <c r="E133" s="517">
        <v>3</v>
      </c>
      <c r="F133" s="517">
        <v>4</v>
      </c>
      <c r="G133" s="517">
        <v>5</v>
      </c>
      <c r="H133" s="517">
        <v>6</v>
      </c>
      <c r="I133" s="517">
        <v>7</v>
      </c>
      <c r="J133" s="517">
        <v>8</v>
      </c>
      <c r="K133" s="517">
        <v>9</v>
      </c>
      <c r="L133" s="517">
        <v>10</v>
      </c>
      <c r="M133" s="517">
        <v>11</v>
      </c>
      <c r="N133" s="517">
        <v>12</v>
      </c>
      <c r="O133" s="517">
        <v>13</v>
      </c>
    </row>
    <row r="134" spans="1:15" ht="0.75" customHeight="1" hidden="1">
      <c r="A134" s="508" t="s">
        <v>0</v>
      </c>
      <c r="B134" s="438" t="s">
        <v>130</v>
      </c>
      <c r="C134" s="806">
        <f aca="true" t="shared" si="51" ref="C134:C140">SUM(D134,E134,H134:O134)</f>
        <v>71</v>
      </c>
      <c r="D134" s="814">
        <f aca="true" t="shared" si="52" ref="D134:O134">SUM(D135:D136)</f>
        <v>41</v>
      </c>
      <c r="E134" s="814">
        <f t="shared" si="52"/>
        <v>12</v>
      </c>
      <c r="F134" s="814">
        <f t="shared" si="52"/>
        <v>0</v>
      </c>
      <c r="G134" s="814">
        <f t="shared" si="52"/>
        <v>12</v>
      </c>
      <c r="H134" s="814">
        <f t="shared" si="52"/>
        <v>0</v>
      </c>
      <c r="I134" s="814">
        <f t="shared" si="52"/>
        <v>17</v>
      </c>
      <c r="J134" s="814">
        <f t="shared" si="52"/>
        <v>1</v>
      </c>
      <c r="K134" s="814">
        <f t="shared" si="52"/>
        <v>0</v>
      </c>
      <c r="L134" s="814">
        <f t="shared" si="52"/>
        <v>0</v>
      </c>
      <c r="M134" s="814">
        <f t="shared" si="52"/>
        <v>0</v>
      </c>
      <c r="N134" s="814">
        <f t="shared" si="52"/>
        <v>0</v>
      </c>
      <c r="O134" s="814">
        <f t="shared" si="52"/>
        <v>0</v>
      </c>
    </row>
    <row r="135" spans="1:15" ht="15" hidden="1">
      <c r="A135" s="507">
        <v>1</v>
      </c>
      <c r="B135" s="429" t="s">
        <v>131</v>
      </c>
      <c r="C135" s="843">
        <f t="shared" si="51"/>
        <v>25</v>
      </c>
      <c r="D135" s="1128">
        <v>17</v>
      </c>
      <c r="E135" s="844">
        <f>F135+G135</f>
        <v>2</v>
      </c>
      <c r="F135" s="1128"/>
      <c r="G135" s="1128">
        <v>2</v>
      </c>
      <c r="H135" s="1128"/>
      <c r="I135" s="1128">
        <v>5</v>
      </c>
      <c r="J135" s="1128">
        <v>1</v>
      </c>
      <c r="K135" s="1128"/>
      <c r="L135" s="1128"/>
      <c r="M135" s="1128"/>
      <c r="N135" s="916"/>
      <c r="O135" s="916"/>
    </row>
    <row r="136" spans="1:15" ht="15" hidden="1">
      <c r="A136" s="507">
        <v>2</v>
      </c>
      <c r="B136" s="429" t="s">
        <v>132</v>
      </c>
      <c r="C136" s="843">
        <f t="shared" si="51"/>
        <v>46</v>
      </c>
      <c r="D136" s="1128">
        <v>24</v>
      </c>
      <c r="E136" s="844">
        <f>F136+G136</f>
        <v>10</v>
      </c>
      <c r="F136" s="1128"/>
      <c r="G136" s="1128">
        <v>10</v>
      </c>
      <c r="H136" s="1128"/>
      <c r="I136" s="1128">
        <v>12</v>
      </c>
      <c r="J136" s="1128"/>
      <c r="K136" s="1128"/>
      <c r="L136" s="1128"/>
      <c r="M136" s="1128"/>
      <c r="N136" s="916"/>
      <c r="O136" s="916"/>
    </row>
    <row r="137" spans="1:15" ht="15" hidden="1">
      <c r="A137" s="508" t="s">
        <v>1</v>
      </c>
      <c r="B137" s="394" t="s">
        <v>133</v>
      </c>
      <c r="C137" s="843">
        <f t="shared" si="51"/>
        <v>0</v>
      </c>
      <c r="D137" s="915"/>
      <c r="E137" s="844">
        <f>F137+G137</f>
        <v>0</v>
      </c>
      <c r="F137" s="916"/>
      <c r="G137" s="916"/>
      <c r="H137" s="916"/>
      <c r="I137" s="916"/>
      <c r="J137" s="916"/>
      <c r="K137" s="916"/>
      <c r="L137" s="916"/>
      <c r="M137" s="916"/>
      <c r="N137" s="916"/>
      <c r="O137" s="916"/>
    </row>
    <row r="138" spans="1:15" ht="15" hidden="1">
      <c r="A138" s="508" t="s">
        <v>9</v>
      </c>
      <c r="B138" s="394" t="s">
        <v>134</v>
      </c>
      <c r="C138" s="843">
        <f t="shared" si="51"/>
        <v>0</v>
      </c>
      <c r="D138" s="842"/>
      <c r="E138" s="844"/>
      <c r="F138" s="915"/>
      <c r="G138" s="915"/>
      <c r="H138" s="915"/>
      <c r="I138" s="915"/>
      <c r="J138" s="915"/>
      <c r="K138" s="915"/>
      <c r="L138" s="915"/>
      <c r="M138" s="915"/>
      <c r="N138" s="916"/>
      <c r="O138" s="916"/>
    </row>
    <row r="139" spans="1:15" ht="15" hidden="1">
      <c r="A139" s="508" t="s">
        <v>135</v>
      </c>
      <c r="B139" s="394" t="s">
        <v>136</v>
      </c>
      <c r="C139" s="845">
        <f t="shared" si="51"/>
        <v>71</v>
      </c>
      <c r="D139" s="845">
        <f>D134-SUM(D137,D138)</f>
        <v>41</v>
      </c>
      <c r="E139" s="846">
        <f aca="true" t="shared" si="53" ref="E139:E145">SUM(F139:G139)</f>
        <v>12</v>
      </c>
      <c r="F139" s="845">
        <f aca="true" t="shared" si="54" ref="F139:O139">F134-SUM(F137,F138)</f>
        <v>0</v>
      </c>
      <c r="G139" s="845">
        <f t="shared" si="54"/>
        <v>12</v>
      </c>
      <c r="H139" s="845">
        <f t="shared" si="54"/>
        <v>0</v>
      </c>
      <c r="I139" s="845">
        <f t="shared" si="54"/>
        <v>17</v>
      </c>
      <c r="J139" s="845">
        <f t="shared" si="54"/>
        <v>1</v>
      </c>
      <c r="K139" s="845">
        <f t="shared" si="54"/>
        <v>0</v>
      </c>
      <c r="L139" s="845">
        <f t="shared" si="54"/>
        <v>0</v>
      </c>
      <c r="M139" s="845">
        <f t="shared" si="54"/>
        <v>0</v>
      </c>
      <c r="N139" s="845">
        <f t="shared" si="54"/>
        <v>0</v>
      </c>
      <c r="O139" s="845">
        <f t="shared" si="54"/>
        <v>0</v>
      </c>
    </row>
    <row r="140" spans="1:15" ht="15" hidden="1">
      <c r="A140" s="508" t="s">
        <v>51</v>
      </c>
      <c r="B140" s="394" t="s">
        <v>137</v>
      </c>
      <c r="C140" s="845">
        <f t="shared" si="51"/>
        <v>52</v>
      </c>
      <c r="D140" s="847">
        <f>SUM(D141:D147)</f>
        <v>30</v>
      </c>
      <c r="E140" s="846">
        <f t="shared" si="53"/>
        <v>8</v>
      </c>
      <c r="F140" s="847">
        <f aca="true" t="shared" si="55" ref="F140:N140">SUM(F141:F147)</f>
        <v>0</v>
      </c>
      <c r="G140" s="847">
        <f t="shared" si="55"/>
        <v>8</v>
      </c>
      <c r="H140" s="847">
        <f t="shared" si="55"/>
        <v>0</v>
      </c>
      <c r="I140" s="847">
        <f t="shared" si="55"/>
        <v>13</v>
      </c>
      <c r="J140" s="847">
        <f t="shared" si="55"/>
        <v>1</v>
      </c>
      <c r="K140" s="847">
        <f t="shared" si="55"/>
        <v>0</v>
      </c>
      <c r="L140" s="847">
        <f t="shared" si="55"/>
        <v>0</v>
      </c>
      <c r="M140" s="847">
        <f t="shared" si="55"/>
        <v>0</v>
      </c>
      <c r="N140" s="847">
        <f t="shared" si="55"/>
        <v>0</v>
      </c>
      <c r="O140" s="847">
        <f>SUM(O141:O147)</f>
        <v>0</v>
      </c>
    </row>
    <row r="141" spans="1:15" ht="15" hidden="1">
      <c r="A141" s="507" t="s">
        <v>53</v>
      </c>
      <c r="B141" s="429" t="s">
        <v>138</v>
      </c>
      <c r="C141" s="843">
        <f aca="true" t="shared" si="56" ref="C141:C148">D141+E141+H141+I141+J141+K141+L141+M141+N141+O141</f>
        <v>31</v>
      </c>
      <c r="D141" s="1129">
        <v>20</v>
      </c>
      <c r="E141" s="848">
        <f t="shared" si="53"/>
        <v>8</v>
      </c>
      <c r="F141" s="1129"/>
      <c r="G141" s="1129">
        <v>8</v>
      </c>
      <c r="H141" s="1129"/>
      <c r="I141" s="1129">
        <v>3</v>
      </c>
      <c r="J141" s="1129"/>
      <c r="K141" s="1129"/>
      <c r="L141" s="917"/>
      <c r="M141" s="917"/>
      <c r="N141" s="916"/>
      <c r="O141" s="916"/>
    </row>
    <row r="142" spans="1:15" ht="15" hidden="1">
      <c r="A142" s="507" t="s">
        <v>54</v>
      </c>
      <c r="B142" s="429" t="s">
        <v>139</v>
      </c>
      <c r="C142" s="843">
        <f t="shared" si="56"/>
        <v>0</v>
      </c>
      <c r="D142" s="1129"/>
      <c r="E142" s="848">
        <f t="shared" si="53"/>
        <v>0</v>
      </c>
      <c r="F142" s="1129"/>
      <c r="G142" s="1129"/>
      <c r="H142" s="1129"/>
      <c r="I142" s="1129"/>
      <c r="J142" s="1129"/>
      <c r="K142" s="1129"/>
      <c r="L142" s="917"/>
      <c r="M142" s="917"/>
      <c r="N142" s="916"/>
      <c r="O142" s="916"/>
    </row>
    <row r="143" spans="1:15" ht="0.75" customHeight="1" hidden="1">
      <c r="A143" s="507" t="s">
        <v>140</v>
      </c>
      <c r="B143" s="429" t="s">
        <v>141</v>
      </c>
      <c r="C143" s="843">
        <f t="shared" si="56"/>
        <v>21</v>
      </c>
      <c r="D143" s="1129">
        <v>10</v>
      </c>
      <c r="E143" s="848">
        <f t="shared" si="53"/>
        <v>0</v>
      </c>
      <c r="F143" s="1129"/>
      <c r="G143" s="1129">
        <v>0</v>
      </c>
      <c r="H143" s="1129"/>
      <c r="I143" s="1129">
        <v>10</v>
      </c>
      <c r="J143" s="1129">
        <v>1</v>
      </c>
      <c r="K143" s="1129"/>
      <c r="L143" s="917"/>
      <c r="M143" s="917"/>
      <c r="N143" s="916"/>
      <c r="O143" s="916"/>
    </row>
    <row r="144" spans="1:15" ht="15" hidden="1">
      <c r="A144" s="507" t="s">
        <v>142</v>
      </c>
      <c r="B144" s="429" t="s">
        <v>143</v>
      </c>
      <c r="C144" s="843">
        <f t="shared" si="56"/>
        <v>0</v>
      </c>
      <c r="D144" s="1129">
        <v>0</v>
      </c>
      <c r="E144" s="848">
        <f t="shared" si="53"/>
        <v>0</v>
      </c>
      <c r="F144" s="916"/>
      <c r="G144" s="916"/>
      <c r="H144" s="916"/>
      <c r="I144" s="916"/>
      <c r="J144" s="916"/>
      <c r="K144" s="916"/>
      <c r="L144" s="915"/>
      <c r="M144" s="915"/>
      <c r="N144" s="916"/>
      <c r="O144" s="916"/>
    </row>
    <row r="145" spans="1:15" ht="15" hidden="1">
      <c r="A145" s="507" t="s">
        <v>144</v>
      </c>
      <c r="B145" s="429" t="s">
        <v>145</v>
      </c>
      <c r="C145" s="843">
        <f t="shared" si="56"/>
        <v>0</v>
      </c>
      <c r="D145" s="917"/>
      <c r="E145" s="848">
        <f t="shared" si="53"/>
        <v>0</v>
      </c>
      <c r="F145" s="917"/>
      <c r="G145" s="917"/>
      <c r="H145" s="917"/>
      <c r="I145" s="917"/>
      <c r="J145" s="917"/>
      <c r="K145" s="917"/>
      <c r="L145" s="917"/>
      <c r="M145" s="917"/>
      <c r="N145" s="916"/>
      <c r="O145" s="916"/>
    </row>
    <row r="146" spans="1:15" ht="25.5" hidden="1">
      <c r="A146" s="507" t="s">
        <v>146</v>
      </c>
      <c r="B146" s="431" t="s">
        <v>147</v>
      </c>
      <c r="C146" s="843">
        <f t="shared" si="56"/>
        <v>0</v>
      </c>
      <c r="D146" s="917"/>
      <c r="E146" s="848">
        <f>SUM(F146:G146)</f>
        <v>0</v>
      </c>
      <c r="F146" s="917"/>
      <c r="G146" s="917"/>
      <c r="H146" s="917"/>
      <c r="I146" s="917"/>
      <c r="J146" s="917"/>
      <c r="K146" s="917"/>
      <c r="L146" s="917"/>
      <c r="M146" s="917"/>
      <c r="N146" s="916"/>
      <c r="O146" s="916"/>
    </row>
    <row r="147" spans="1:15" ht="15" hidden="1">
      <c r="A147" s="507" t="s">
        <v>148</v>
      </c>
      <c r="B147" s="429" t="s">
        <v>149</v>
      </c>
      <c r="C147" s="843">
        <f t="shared" si="56"/>
        <v>0</v>
      </c>
      <c r="D147" s="917"/>
      <c r="E147" s="848">
        <f>SUM(F147:G147)</f>
        <v>0</v>
      </c>
      <c r="F147" s="915"/>
      <c r="G147" s="915"/>
      <c r="H147" s="915"/>
      <c r="I147" s="915"/>
      <c r="J147" s="915"/>
      <c r="K147" s="915"/>
      <c r="L147" s="915"/>
      <c r="M147" s="915"/>
      <c r="N147" s="916"/>
      <c r="O147" s="916"/>
    </row>
    <row r="148" spans="1:15" ht="15" hidden="1">
      <c r="A148" s="508" t="s">
        <v>52</v>
      </c>
      <c r="B148" s="394" t="s">
        <v>150</v>
      </c>
      <c r="C148" s="806">
        <f t="shared" si="56"/>
        <v>19</v>
      </c>
      <c r="D148" s="806">
        <f>D139-D140</f>
        <v>11</v>
      </c>
      <c r="E148" s="814">
        <f>SUM(F148:G148)</f>
        <v>4</v>
      </c>
      <c r="F148" s="806">
        <f>F139-F140</f>
        <v>0</v>
      </c>
      <c r="G148" s="806">
        <f>G139-G140</f>
        <v>4</v>
      </c>
      <c r="H148" s="806">
        <f>H139-H140</f>
        <v>0</v>
      </c>
      <c r="I148" s="806">
        <f aca="true" t="shared" si="57" ref="I148:N148">I139-I140</f>
        <v>4</v>
      </c>
      <c r="J148" s="806">
        <f t="shared" si="57"/>
        <v>0</v>
      </c>
      <c r="K148" s="806">
        <f t="shared" si="57"/>
        <v>0</v>
      </c>
      <c r="L148" s="806">
        <f t="shared" si="57"/>
        <v>0</v>
      </c>
      <c r="M148" s="806">
        <f t="shared" si="57"/>
        <v>0</v>
      </c>
      <c r="N148" s="806">
        <f t="shared" si="57"/>
        <v>0</v>
      </c>
      <c r="O148" s="806">
        <f>O134-O140</f>
        <v>0</v>
      </c>
    </row>
    <row r="149" spans="1:15" ht="25.5" hidden="1">
      <c r="A149" s="509" t="s">
        <v>540</v>
      </c>
      <c r="B149" s="432" t="s">
        <v>151</v>
      </c>
      <c r="C149" s="516">
        <f>(C141+C142)/C140</f>
        <v>0.5961538461538461</v>
      </c>
      <c r="D149" s="516">
        <f aca="true" t="shared" si="58" ref="D149:O149">(D141+D142)/D140</f>
        <v>0.6666666666666666</v>
      </c>
      <c r="E149" s="516">
        <f t="shared" si="58"/>
        <v>1</v>
      </c>
      <c r="F149" s="516" t="e">
        <f t="shared" si="58"/>
        <v>#DIV/0!</v>
      </c>
      <c r="G149" s="516">
        <f t="shared" si="58"/>
        <v>1</v>
      </c>
      <c r="H149" s="516" t="e">
        <f t="shared" si="58"/>
        <v>#DIV/0!</v>
      </c>
      <c r="I149" s="516">
        <f t="shared" si="58"/>
        <v>0.23076923076923078</v>
      </c>
      <c r="J149" s="516">
        <f t="shared" si="58"/>
        <v>0</v>
      </c>
      <c r="K149" s="516" t="e">
        <f t="shared" si="58"/>
        <v>#DIV/0!</v>
      </c>
      <c r="L149" s="516" t="e">
        <f t="shared" si="58"/>
        <v>#DIV/0!</v>
      </c>
      <c r="M149" s="516" t="e">
        <f t="shared" si="58"/>
        <v>#DIV/0!</v>
      </c>
      <c r="N149" s="516" t="e">
        <f t="shared" si="58"/>
        <v>#DIV/0!</v>
      </c>
      <c r="O149" s="516" t="e">
        <f t="shared" si="58"/>
        <v>#DIV/0!</v>
      </c>
    </row>
    <row r="150" ht="15" hidden="1"/>
    <row r="151" ht="15" hidden="1">
      <c r="B151" s="1020" t="s">
        <v>747</v>
      </c>
    </row>
    <row r="152" spans="1:15" ht="15" hidden="1">
      <c r="A152" s="1501" t="s">
        <v>68</v>
      </c>
      <c r="B152" s="1501"/>
      <c r="C152" s="1501" t="s">
        <v>37</v>
      </c>
      <c r="D152" s="1501" t="s">
        <v>335</v>
      </c>
      <c r="E152" s="1501"/>
      <c r="F152" s="1501"/>
      <c r="G152" s="1501"/>
      <c r="H152" s="1501"/>
      <c r="I152" s="1501"/>
      <c r="J152" s="1501"/>
      <c r="K152" s="1501"/>
      <c r="L152" s="1501"/>
      <c r="M152" s="1501"/>
      <c r="N152" s="1501"/>
      <c r="O152" s="1501"/>
    </row>
    <row r="153" spans="1:15" ht="15" hidden="1">
      <c r="A153" s="1501"/>
      <c r="B153" s="1501"/>
      <c r="C153" s="1501"/>
      <c r="D153" s="1518" t="s">
        <v>119</v>
      </c>
      <c r="E153" s="1516" t="s">
        <v>120</v>
      </c>
      <c r="F153" s="1516"/>
      <c r="G153" s="1516"/>
      <c r="H153" s="1516" t="s">
        <v>121</v>
      </c>
      <c r="I153" s="1516" t="s">
        <v>122</v>
      </c>
      <c r="J153" s="1516" t="s">
        <v>123</v>
      </c>
      <c r="K153" s="1516" t="s">
        <v>124</v>
      </c>
      <c r="L153" s="1516" t="s">
        <v>125</v>
      </c>
      <c r="M153" s="1516" t="s">
        <v>126</v>
      </c>
      <c r="N153" s="1516" t="s">
        <v>183</v>
      </c>
      <c r="O153" s="1516" t="s">
        <v>127</v>
      </c>
    </row>
    <row r="154" spans="1:15" ht="15" hidden="1">
      <c r="A154" s="1501"/>
      <c r="B154" s="1501"/>
      <c r="C154" s="1501"/>
      <c r="D154" s="1518"/>
      <c r="E154" s="1516" t="s">
        <v>36</v>
      </c>
      <c r="F154" s="1516" t="s">
        <v>7</v>
      </c>
      <c r="G154" s="1516"/>
      <c r="H154" s="1516"/>
      <c r="I154" s="1516"/>
      <c r="J154" s="1516"/>
      <c r="K154" s="1516"/>
      <c r="L154" s="1516"/>
      <c r="M154" s="1516"/>
      <c r="N154" s="1516"/>
      <c r="O154" s="1516"/>
    </row>
    <row r="155" spans="1:15" ht="30" hidden="1">
      <c r="A155" s="1501"/>
      <c r="B155" s="1501"/>
      <c r="C155" s="1501"/>
      <c r="D155" s="1518"/>
      <c r="E155" s="1516"/>
      <c r="F155" s="560" t="s">
        <v>128</v>
      </c>
      <c r="G155" s="560" t="s">
        <v>129</v>
      </c>
      <c r="H155" s="1516"/>
      <c r="I155" s="1516"/>
      <c r="J155" s="1516"/>
      <c r="K155" s="1516"/>
      <c r="L155" s="1516"/>
      <c r="M155" s="1516"/>
      <c r="N155" s="1516"/>
      <c r="O155" s="1516"/>
    </row>
    <row r="156" spans="1:15" ht="15" hidden="1">
      <c r="A156" s="1517" t="s">
        <v>39</v>
      </c>
      <c r="B156" s="1517"/>
      <c r="C156" s="517">
        <v>1</v>
      </c>
      <c r="D156" s="517">
        <v>2</v>
      </c>
      <c r="E156" s="517">
        <v>3</v>
      </c>
      <c r="F156" s="517">
        <v>4</v>
      </c>
      <c r="G156" s="517">
        <v>5</v>
      </c>
      <c r="H156" s="517">
        <v>6</v>
      </c>
      <c r="I156" s="517">
        <v>7</v>
      </c>
      <c r="J156" s="517">
        <v>8</v>
      </c>
      <c r="K156" s="517">
        <v>9</v>
      </c>
      <c r="L156" s="517">
        <v>10</v>
      </c>
      <c r="M156" s="517">
        <v>11</v>
      </c>
      <c r="N156" s="517">
        <v>12</v>
      </c>
      <c r="O156" s="517">
        <v>13</v>
      </c>
    </row>
    <row r="157" spans="1:15" ht="15" hidden="1">
      <c r="A157" s="508" t="s">
        <v>0</v>
      </c>
      <c r="B157" s="438" t="s">
        <v>130</v>
      </c>
      <c r="C157" s="806">
        <f aca="true" t="shared" si="59" ref="C157:C163">SUM(D157,E157,H157:O157)</f>
        <v>115</v>
      </c>
      <c r="D157" s="814">
        <f aca="true" t="shared" si="60" ref="D157:O157">SUM(D158:D159)</f>
        <v>45</v>
      </c>
      <c r="E157" s="814">
        <f t="shared" si="60"/>
        <v>32</v>
      </c>
      <c r="F157" s="814">
        <f t="shared" si="60"/>
        <v>0</v>
      </c>
      <c r="G157" s="814">
        <f t="shared" si="60"/>
        <v>32</v>
      </c>
      <c r="H157" s="814">
        <f t="shared" si="60"/>
        <v>0</v>
      </c>
      <c r="I157" s="814">
        <f t="shared" si="60"/>
        <v>36</v>
      </c>
      <c r="J157" s="814">
        <f t="shared" si="60"/>
        <v>2</v>
      </c>
      <c r="K157" s="814">
        <f t="shared" si="60"/>
        <v>0</v>
      </c>
      <c r="L157" s="814">
        <f t="shared" si="60"/>
        <v>0</v>
      </c>
      <c r="M157" s="814">
        <f t="shared" si="60"/>
        <v>0</v>
      </c>
      <c r="N157" s="814">
        <f t="shared" si="60"/>
        <v>0</v>
      </c>
      <c r="O157" s="814">
        <f t="shared" si="60"/>
        <v>0</v>
      </c>
    </row>
    <row r="158" spans="1:15" ht="15.75" hidden="1">
      <c r="A158" s="507">
        <v>1</v>
      </c>
      <c r="B158" s="429" t="s">
        <v>131</v>
      </c>
      <c r="C158" s="843">
        <f t="shared" si="59"/>
        <v>39</v>
      </c>
      <c r="D158" s="822">
        <f>2+9+10</f>
        <v>21</v>
      </c>
      <c r="E158" s="844">
        <f>F158+G158</f>
        <v>10</v>
      </c>
      <c r="F158" s="907">
        <f>0+0+0</f>
        <v>0</v>
      </c>
      <c r="G158" s="907">
        <f>6+3+1</f>
        <v>10</v>
      </c>
      <c r="H158" s="907"/>
      <c r="I158" s="907">
        <f>2+3+3</f>
        <v>8</v>
      </c>
      <c r="J158" s="907"/>
      <c r="K158" s="907"/>
      <c r="L158" s="907"/>
      <c r="M158" s="907"/>
      <c r="N158" s="907"/>
      <c r="O158" s="907"/>
    </row>
    <row r="159" spans="1:15" ht="15.75" hidden="1">
      <c r="A159" s="507">
        <v>2</v>
      </c>
      <c r="B159" s="429" t="s">
        <v>132</v>
      </c>
      <c r="C159" s="843">
        <f t="shared" si="59"/>
        <v>76</v>
      </c>
      <c r="D159" s="818">
        <f>1+12+11</f>
        <v>24</v>
      </c>
      <c r="E159" s="844">
        <f>F159+G159</f>
        <v>22</v>
      </c>
      <c r="F159" s="906"/>
      <c r="G159" s="906">
        <f>4+7+11</f>
        <v>22</v>
      </c>
      <c r="H159" s="906"/>
      <c r="I159" s="906">
        <f>5+9+14</f>
        <v>28</v>
      </c>
      <c r="J159" s="906">
        <v>2</v>
      </c>
      <c r="K159" s="906"/>
      <c r="L159" s="906"/>
      <c r="M159" s="906"/>
      <c r="N159" s="906"/>
      <c r="O159" s="906"/>
    </row>
    <row r="160" spans="1:15" ht="15.75" hidden="1">
      <c r="A160" s="508" t="s">
        <v>1</v>
      </c>
      <c r="B160" s="394" t="s">
        <v>133</v>
      </c>
      <c r="C160" s="843">
        <f t="shared" si="59"/>
        <v>3</v>
      </c>
      <c r="D160" s="1141">
        <v>0</v>
      </c>
      <c r="E160" s="844">
        <f>F160+G160</f>
        <v>2</v>
      </c>
      <c r="F160" s="1088"/>
      <c r="G160" s="906">
        <v>2</v>
      </c>
      <c r="H160" s="1088"/>
      <c r="I160" s="1088">
        <v>1</v>
      </c>
      <c r="J160" s="1088"/>
      <c r="K160" s="1088"/>
      <c r="L160" s="1088"/>
      <c r="M160" s="1088"/>
      <c r="N160" s="1088"/>
      <c r="O160" s="906"/>
    </row>
    <row r="161" spans="1:15" ht="15" hidden="1">
      <c r="A161" s="508" t="s">
        <v>9</v>
      </c>
      <c r="B161" s="394" t="s">
        <v>134</v>
      </c>
      <c r="C161" s="843">
        <f t="shared" si="59"/>
        <v>0</v>
      </c>
      <c r="D161" s="842"/>
      <c r="E161" s="844"/>
      <c r="F161" s="842"/>
      <c r="G161" s="842"/>
      <c r="H161" s="842"/>
      <c r="I161" s="842"/>
      <c r="J161" s="842"/>
      <c r="K161" s="842"/>
      <c r="L161" s="842"/>
      <c r="M161" s="842"/>
      <c r="N161" s="842"/>
      <c r="O161" s="842"/>
    </row>
    <row r="162" spans="1:15" ht="15" hidden="1">
      <c r="A162" s="508" t="s">
        <v>135</v>
      </c>
      <c r="B162" s="394" t="s">
        <v>136</v>
      </c>
      <c r="C162" s="845">
        <f t="shared" si="59"/>
        <v>112</v>
      </c>
      <c r="D162" s="845">
        <f>D157-SUM(D160,D161)</f>
        <v>45</v>
      </c>
      <c r="E162" s="846">
        <f aca="true" t="shared" si="61" ref="E162:E171">SUM(F162:G162)</f>
        <v>30</v>
      </c>
      <c r="F162" s="845">
        <f aca="true" t="shared" si="62" ref="F162:O162">F157-SUM(F160,F161)</f>
        <v>0</v>
      </c>
      <c r="G162" s="845">
        <f t="shared" si="62"/>
        <v>30</v>
      </c>
      <c r="H162" s="845">
        <f t="shared" si="62"/>
        <v>0</v>
      </c>
      <c r="I162" s="845">
        <f t="shared" si="62"/>
        <v>35</v>
      </c>
      <c r="J162" s="845">
        <f t="shared" si="62"/>
        <v>2</v>
      </c>
      <c r="K162" s="845">
        <f t="shared" si="62"/>
        <v>0</v>
      </c>
      <c r="L162" s="845">
        <f t="shared" si="62"/>
        <v>0</v>
      </c>
      <c r="M162" s="845">
        <f t="shared" si="62"/>
        <v>0</v>
      </c>
      <c r="N162" s="845">
        <f t="shared" si="62"/>
        <v>0</v>
      </c>
      <c r="O162" s="845">
        <f t="shared" si="62"/>
        <v>0</v>
      </c>
    </row>
    <row r="163" spans="1:15" ht="15" hidden="1">
      <c r="A163" s="508" t="s">
        <v>51</v>
      </c>
      <c r="B163" s="394" t="s">
        <v>137</v>
      </c>
      <c r="C163" s="845">
        <f t="shared" si="59"/>
        <v>75</v>
      </c>
      <c r="D163" s="847">
        <f>SUM(D164:D170)</f>
        <v>33</v>
      </c>
      <c r="E163" s="846">
        <f t="shared" si="61"/>
        <v>16</v>
      </c>
      <c r="F163" s="847">
        <f aca="true" t="shared" si="63" ref="F163:N163">SUM(F164:F170)</f>
        <v>0</v>
      </c>
      <c r="G163" s="847">
        <f t="shared" si="63"/>
        <v>16</v>
      </c>
      <c r="H163" s="847">
        <f t="shared" si="63"/>
        <v>0</v>
      </c>
      <c r="I163" s="847">
        <f t="shared" si="63"/>
        <v>25</v>
      </c>
      <c r="J163" s="847">
        <f t="shared" si="63"/>
        <v>1</v>
      </c>
      <c r="K163" s="847">
        <f t="shared" si="63"/>
        <v>0</v>
      </c>
      <c r="L163" s="847">
        <f t="shared" si="63"/>
        <v>0</v>
      </c>
      <c r="M163" s="847">
        <f t="shared" si="63"/>
        <v>0</v>
      </c>
      <c r="N163" s="847">
        <f t="shared" si="63"/>
        <v>0</v>
      </c>
      <c r="O163" s="847">
        <f>SUM(O164:O170)</f>
        <v>0</v>
      </c>
    </row>
    <row r="164" spans="1:15" ht="15.75" hidden="1">
      <c r="A164" s="507" t="s">
        <v>53</v>
      </c>
      <c r="B164" s="429" t="s">
        <v>138</v>
      </c>
      <c r="C164" s="843">
        <f aca="true" t="shared" si="64" ref="C164:C171">D164+E164+H164+I164+J164+K164+L164+M164+N164+O164</f>
        <v>20</v>
      </c>
      <c r="D164" s="817">
        <f>1+2+4</f>
        <v>7</v>
      </c>
      <c r="E164" s="848">
        <f t="shared" si="61"/>
        <v>8</v>
      </c>
      <c r="F164" s="908"/>
      <c r="G164" s="908">
        <f>2+4+2</f>
        <v>8</v>
      </c>
      <c r="H164" s="908"/>
      <c r="I164" s="908">
        <f>2+1+1</f>
        <v>4</v>
      </c>
      <c r="J164" s="908">
        <v>1</v>
      </c>
      <c r="K164" s="908"/>
      <c r="L164" s="908"/>
      <c r="M164" s="908"/>
      <c r="N164" s="908"/>
      <c r="O164" s="908"/>
    </row>
    <row r="165" spans="1:15" ht="15.75" hidden="1">
      <c r="A165" s="507" t="s">
        <v>54</v>
      </c>
      <c r="B165" s="429" t="s">
        <v>139</v>
      </c>
      <c r="C165" s="843">
        <f t="shared" si="64"/>
        <v>1</v>
      </c>
      <c r="D165" s="818">
        <f>1+0+0</f>
        <v>1</v>
      </c>
      <c r="E165" s="848">
        <f t="shared" si="61"/>
        <v>0</v>
      </c>
      <c r="F165" s="906"/>
      <c r="G165" s="906"/>
      <c r="H165" s="906"/>
      <c r="I165" s="906"/>
      <c r="J165" s="906"/>
      <c r="K165" s="906"/>
      <c r="L165" s="906"/>
      <c r="M165" s="906"/>
      <c r="N165" s="906"/>
      <c r="O165" s="906"/>
    </row>
    <row r="166" spans="1:15" ht="15.75" hidden="1">
      <c r="A166" s="507" t="s">
        <v>140</v>
      </c>
      <c r="B166" s="429" t="s">
        <v>141</v>
      </c>
      <c r="C166" s="843">
        <f t="shared" si="64"/>
        <v>54</v>
      </c>
      <c r="D166" s="818">
        <f>1+14+10</f>
        <v>25</v>
      </c>
      <c r="E166" s="848">
        <f t="shared" si="61"/>
        <v>8</v>
      </c>
      <c r="F166" s="906"/>
      <c r="G166" s="906">
        <f>3+1+4</f>
        <v>8</v>
      </c>
      <c r="H166" s="906"/>
      <c r="I166" s="906">
        <f>2+8+11</f>
        <v>21</v>
      </c>
      <c r="J166" s="906">
        <v>0</v>
      </c>
      <c r="K166" s="906"/>
      <c r="L166" s="906"/>
      <c r="M166" s="906"/>
      <c r="N166" s="906"/>
      <c r="O166" s="906"/>
    </row>
    <row r="167" spans="1:15" ht="15.75" hidden="1">
      <c r="A167" s="507" t="s">
        <v>142</v>
      </c>
      <c r="B167" s="429" t="s">
        <v>143</v>
      </c>
      <c r="C167" s="843">
        <f t="shared" si="64"/>
        <v>0</v>
      </c>
      <c r="D167" s="818"/>
      <c r="E167" s="848">
        <f t="shared" si="61"/>
        <v>0</v>
      </c>
      <c r="F167" s="906"/>
      <c r="G167" s="906"/>
      <c r="H167" s="906"/>
      <c r="I167" s="906"/>
      <c r="J167" s="906"/>
      <c r="K167" s="906"/>
      <c r="L167" s="906"/>
      <c r="M167" s="906"/>
      <c r="N167" s="906"/>
      <c r="O167" s="906"/>
    </row>
    <row r="168" spans="1:15" ht="15.75" hidden="1">
      <c r="A168" s="507" t="s">
        <v>144</v>
      </c>
      <c r="B168" s="429" t="s">
        <v>145</v>
      </c>
      <c r="C168" s="843">
        <f t="shared" si="64"/>
        <v>0</v>
      </c>
      <c r="D168" s="818"/>
      <c r="E168" s="848">
        <f t="shared" si="61"/>
        <v>0</v>
      </c>
      <c r="F168" s="906"/>
      <c r="G168" s="906"/>
      <c r="H168" s="906"/>
      <c r="I168" s="906"/>
      <c r="J168" s="906"/>
      <c r="K168" s="906"/>
      <c r="L168" s="906"/>
      <c r="M168" s="906"/>
      <c r="N168" s="906"/>
      <c r="O168" s="906"/>
    </row>
    <row r="169" spans="1:15" ht="25.5" hidden="1">
      <c r="A169" s="507" t="s">
        <v>146</v>
      </c>
      <c r="B169" s="431" t="s">
        <v>147</v>
      </c>
      <c r="C169" s="843">
        <f t="shared" si="64"/>
        <v>0</v>
      </c>
      <c r="D169" s="818"/>
      <c r="E169" s="848">
        <f t="shared" si="61"/>
        <v>0</v>
      </c>
      <c r="F169" s="906"/>
      <c r="G169" s="906"/>
      <c r="H169" s="906"/>
      <c r="I169" s="906"/>
      <c r="J169" s="906"/>
      <c r="K169" s="906"/>
      <c r="L169" s="906"/>
      <c r="M169" s="906"/>
      <c r="N169" s="906"/>
      <c r="O169" s="906"/>
    </row>
    <row r="170" spans="1:15" ht="15.75" hidden="1">
      <c r="A170" s="507" t="s">
        <v>148</v>
      </c>
      <c r="B170" s="429" t="s">
        <v>149</v>
      </c>
      <c r="C170" s="843">
        <f t="shared" si="64"/>
        <v>0</v>
      </c>
      <c r="D170" s="818">
        <f>0+0+0+0</f>
        <v>0</v>
      </c>
      <c r="E170" s="848">
        <f t="shared" si="61"/>
        <v>0</v>
      </c>
      <c r="F170" s="906"/>
      <c r="G170" s="906"/>
      <c r="H170" s="906"/>
      <c r="I170" s="906"/>
      <c r="J170" s="906"/>
      <c r="K170" s="906"/>
      <c r="L170" s="906"/>
      <c r="M170" s="906"/>
      <c r="N170" s="906"/>
      <c r="O170" s="906"/>
    </row>
    <row r="171" spans="1:15" ht="15" hidden="1">
      <c r="A171" s="508" t="s">
        <v>52</v>
      </c>
      <c r="B171" s="394" t="s">
        <v>150</v>
      </c>
      <c r="C171" s="806">
        <f t="shared" si="64"/>
        <v>37</v>
      </c>
      <c r="D171" s="806">
        <f>D162-D163</f>
        <v>12</v>
      </c>
      <c r="E171" s="814">
        <f t="shared" si="61"/>
        <v>14</v>
      </c>
      <c r="F171" s="806">
        <f>F162-F163</f>
        <v>0</v>
      </c>
      <c r="G171" s="806">
        <f>G162-G163</f>
        <v>14</v>
      </c>
      <c r="H171" s="806">
        <f>H162-H163</f>
        <v>0</v>
      </c>
      <c r="I171" s="806">
        <f aca="true" t="shared" si="65" ref="I171:N171">I162-I163</f>
        <v>10</v>
      </c>
      <c r="J171" s="806">
        <f t="shared" si="65"/>
        <v>1</v>
      </c>
      <c r="K171" s="806">
        <f t="shared" si="65"/>
        <v>0</v>
      </c>
      <c r="L171" s="806">
        <f t="shared" si="65"/>
        <v>0</v>
      </c>
      <c r="M171" s="806">
        <f t="shared" si="65"/>
        <v>0</v>
      </c>
      <c r="N171" s="806">
        <f t="shared" si="65"/>
        <v>0</v>
      </c>
      <c r="O171" s="806">
        <f>O157-O163</f>
        <v>0</v>
      </c>
    </row>
    <row r="172" spans="1:15" ht="25.5" hidden="1">
      <c r="A172" s="509" t="s">
        <v>540</v>
      </c>
      <c r="B172" s="432" t="s">
        <v>151</v>
      </c>
      <c r="C172" s="516">
        <f>(C164+C165)/C163</f>
        <v>0.28</v>
      </c>
      <c r="D172" s="516">
        <f aca="true" t="shared" si="66" ref="D172:O172">(D164+D165)/D163</f>
        <v>0.24242424242424243</v>
      </c>
      <c r="E172" s="516">
        <f t="shared" si="66"/>
        <v>0.5</v>
      </c>
      <c r="F172" s="516" t="e">
        <f t="shared" si="66"/>
        <v>#DIV/0!</v>
      </c>
      <c r="G172" s="516">
        <f t="shared" si="66"/>
        <v>0.5</v>
      </c>
      <c r="H172" s="516" t="e">
        <f t="shared" si="66"/>
        <v>#DIV/0!</v>
      </c>
      <c r="I172" s="516">
        <f t="shared" si="66"/>
        <v>0.16</v>
      </c>
      <c r="J172" s="516">
        <f t="shared" si="66"/>
        <v>1</v>
      </c>
      <c r="K172" s="516" t="e">
        <f t="shared" si="66"/>
        <v>#DIV/0!</v>
      </c>
      <c r="L172" s="516" t="e">
        <f t="shared" si="66"/>
        <v>#DIV/0!</v>
      </c>
      <c r="M172" s="516" t="e">
        <f t="shared" si="66"/>
        <v>#DIV/0!</v>
      </c>
      <c r="N172" s="516" t="e">
        <f t="shared" si="66"/>
        <v>#DIV/0!</v>
      </c>
      <c r="O172" s="516" t="e">
        <f t="shared" si="66"/>
        <v>#DIV/0!</v>
      </c>
    </row>
    <row r="173" ht="15" hidden="1"/>
    <row r="174" ht="15" hidden="1">
      <c r="B174" s="904" t="s">
        <v>742</v>
      </c>
    </row>
    <row r="175" spans="1:15" ht="15" hidden="1">
      <c r="A175" s="1501" t="s">
        <v>68</v>
      </c>
      <c r="B175" s="1501"/>
      <c r="C175" s="1501" t="s">
        <v>37</v>
      </c>
      <c r="D175" s="1501" t="s">
        <v>335</v>
      </c>
      <c r="E175" s="1501"/>
      <c r="F175" s="1501"/>
      <c r="G175" s="1501"/>
      <c r="H175" s="1501"/>
      <c r="I175" s="1501"/>
      <c r="J175" s="1501"/>
      <c r="K175" s="1501"/>
      <c r="L175" s="1501"/>
      <c r="M175" s="1501"/>
      <c r="N175" s="1501"/>
      <c r="O175" s="1501"/>
    </row>
    <row r="176" spans="1:15" ht="15" hidden="1">
      <c r="A176" s="1501"/>
      <c r="B176" s="1501"/>
      <c r="C176" s="1501"/>
      <c r="D176" s="1518" t="s">
        <v>119</v>
      </c>
      <c r="E176" s="1516" t="s">
        <v>120</v>
      </c>
      <c r="F176" s="1516"/>
      <c r="G176" s="1516"/>
      <c r="H176" s="1516" t="s">
        <v>121</v>
      </c>
      <c r="I176" s="1516" t="s">
        <v>122</v>
      </c>
      <c r="J176" s="1516" t="s">
        <v>123</v>
      </c>
      <c r="K176" s="1516" t="s">
        <v>124</v>
      </c>
      <c r="L176" s="1516" t="s">
        <v>125</v>
      </c>
      <c r="M176" s="1516" t="s">
        <v>126</v>
      </c>
      <c r="N176" s="1516" t="s">
        <v>183</v>
      </c>
      <c r="O176" s="1516" t="s">
        <v>127</v>
      </c>
    </row>
    <row r="177" spans="1:15" ht="15" hidden="1">
      <c r="A177" s="1501"/>
      <c r="B177" s="1501"/>
      <c r="C177" s="1501"/>
      <c r="D177" s="1518"/>
      <c r="E177" s="1516" t="s">
        <v>36</v>
      </c>
      <c r="F177" s="1516" t="s">
        <v>7</v>
      </c>
      <c r="G177" s="1516"/>
      <c r="H177" s="1516"/>
      <c r="I177" s="1516"/>
      <c r="J177" s="1516"/>
      <c r="K177" s="1516"/>
      <c r="L177" s="1516"/>
      <c r="M177" s="1516"/>
      <c r="N177" s="1516"/>
      <c r="O177" s="1516"/>
    </row>
    <row r="178" spans="1:15" ht="30" hidden="1">
      <c r="A178" s="1501"/>
      <c r="B178" s="1501"/>
      <c r="C178" s="1501"/>
      <c r="D178" s="1518"/>
      <c r="E178" s="1516"/>
      <c r="F178" s="560" t="s">
        <v>128</v>
      </c>
      <c r="G178" s="560" t="s">
        <v>129</v>
      </c>
      <c r="H178" s="1516"/>
      <c r="I178" s="1516"/>
      <c r="J178" s="1516"/>
      <c r="K178" s="1516"/>
      <c r="L178" s="1516"/>
      <c r="M178" s="1516"/>
      <c r="N178" s="1516"/>
      <c r="O178" s="1516"/>
    </row>
    <row r="179" spans="1:15" ht="15" hidden="1">
      <c r="A179" s="1517" t="s">
        <v>39</v>
      </c>
      <c r="B179" s="1517"/>
      <c r="C179" s="517">
        <v>1</v>
      </c>
      <c r="D179" s="517">
        <v>2</v>
      </c>
      <c r="E179" s="517">
        <v>3</v>
      </c>
      <c r="F179" s="517">
        <v>4</v>
      </c>
      <c r="G179" s="517">
        <v>5</v>
      </c>
      <c r="H179" s="517">
        <v>6</v>
      </c>
      <c r="I179" s="517">
        <v>7</v>
      </c>
      <c r="J179" s="517">
        <v>8</v>
      </c>
      <c r="K179" s="517">
        <v>9</v>
      </c>
      <c r="L179" s="517">
        <v>10</v>
      </c>
      <c r="M179" s="517">
        <v>11</v>
      </c>
      <c r="N179" s="517">
        <v>12</v>
      </c>
      <c r="O179" s="517">
        <v>13</v>
      </c>
    </row>
    <row r="180" spans="1:15" ht="15" hidden="1">
      <c r="A180" s="508" t="s">
        <v>0</v>
      </c>
      <c r="B180" s="438" t="s">
        <v>130</v>
      </c>
      <c r="C180" s="806">
        <f aca="true" t="shared" si="67" ref="C180:C186">SUM(D180,E180,H180:O180)</f>
        <v>31</v>
      </c>
      <c r="D180" s="814">
        <f aca="true" t="shared" si="68" ref="D180:O180">SUM(D181:D182)</f>
        <v>13</v>
      </c>
      <c r="E180" s="814">
        <f t="shared" si="68"/>
        <v>11</v>
      </c>
      <c r="F180" s="814">
        <f t="shared" si="68"/>
        <v>0</v>
      </c>
      <c r="G180" s="814">
        <f t="shared" si="68"/>
        <v>11</v>
      </c>
      <c r="H180" s="814">
        <f t="shared" si="68"/>
        <v>0</v>
      </c>
      <c r="I180" s="814">
        <f t="shared" si="68"/>
        <v>7</v>
      </c>
      <c r="J180" s="814">
        <f t="shared" si="68"/>
        <v>0</v>
      </c>
      <c r="K180" s="814">
        <f t="shared" si="68"/>
        <v>0</v>
      </c>
      <c r="L180" s="814">
        <f t="shared" si="68"/>
        <v>0</v>
      </c>
      <c r="M180" s="814">
        <f t="shared" si="68"/>
        <v>0</v>
      </c>
      <c r="N180" s="814">
        <f t="shared" si="68"/>
        <v>0</v>
      </c>
      <c r="O180" s="814">
        <f t="shared" si="68"/>
        <v>0</v>
      </c>
    </row>
    <row r="181" spans="1:15" ht="15.75" hidden="1">
      <c r="A181" s="507">
        <v>1</v>
      </c>
      <c r="B181" s="429" t="s">
        <v>131</v>
      </c>
      <c r="C181" s="843">
        <f t="shared" si="67"/>
        <v>22</v>
      </c>
      <c r="D181" s="911">
        <v>10</v>
      </c>
      <c r="E181" s="844">
        <f>F181+G181</f>
        <v>5</v>
      </c>
      <c r="F181" s="912"/>
      <c r="G181" s="912">
        <v>5</v>
      </c>
      <c r="H181" s="912"/>
      <c r="I181" s="912">
        <v>7</v>
      </c>
      <c r="J181" s="912"/>
      <c r="K181" s="912"/>
      <c r="L181" s="912"/>
      <c r="M181" s="912"/>
      <c r="N181" s="912"/>
      <c r="O181" s="912"/>
    </row>
    <row r="182" spans="1:15" ht="15.75" hidden="1">
      <c r="A182" s="507">
        <v>2</v>
      </c>
      <c r="B182" s="429" t="s">
        <v>132</v>
      </c>
      <c r="C182" s="843">
        <f t="shared" si="67"/>
        <v>9</v>
      </c>
      <c r="D182" s="818">
        <v>3</v>
      </c>
      <c r="E182" s="844">
        <f>F182+G182</f>
        <v>6</v>
      </c>
      <c r="F182" s="906"/>
      <c r="G182" s="906">
        <v>6</v>
      </c>
      <c r="H182" s="906"/>
      <c r="I182" s="906">
        <v>0</v>
      </c>
      <c r="J182" s="906"/>
      <c r="K182" s="906"/>
      <c r="L182" s="906"/>
      <c r="M182" s="906"/>
      <c r="N182" s="906"/>
      <c r="O182" s="906"/>
    </row>
    <row r="183" spans="1:15" ht="15.75" hidden="1">
      <c r="A183" s="508" t="s">
        <v>1</v>
      </c>
      <c r="B183" s="394" t="s">
        <v>133</v>
      </c>
      <c r="C183" s="843">
        <f t="shared" si="67"/>
        <v>3</v>
      </c>
      <c r="D183" s="818">
        <v>3</v>
      </c>
      <c r="E183" s="844">
        <f>F183+G183</f>
        <v>0</v>
      </c>
      <c r="F183" s="842"/>
      <c r="G183" s="842"/>
      <c r="H183" s="842"/>
      <c r="I183" s="842"/>
      <c r="J183" s="842"/>
      <c r="K183" s="842"/>
      <c r="L183" s="842"/>
      <c r="M183" s="842"/>
      <c r="N183" s="842"/>
      <c r="O183" s="842"/>
    </row>
    <row r="184" spans="1:15" ht="15" hidden="1">
      <c r="A184" s="508" t="s">
        <v>9</v>
      </c>
      <c r="B184" s="394" t="s">
        <v>134</v>
      </c>
      <c r="C184" s="843">
        <f t="shared" si="67"/>
        <v>0</v>
      </c>
      <c r="D184" s="842"/>
      <c r="E184" s="844"/>
      <c r="F184" s="842"/>
      <c r="G184" s="842"/>
      <c r="H184" s="842"/>
      <c r="I184" s="842"/>
      <c r="J184" s="842"/>
      <c r="K184" s="842"/>
      <c r="L184" s="842"/>
      <c r="M184" s="842"/>
      <c r="N184" s="842"/>
      <c r="O184" s="842"/>
    </row>
    <row r="185" spans="1:15" ht="15" hidden="1">
      <c r="A185" s="508" t="s">
        <v>135</v>
      </c>
      <c r="B185" s="394" t="s">
        <v>136</v>
      </c>
      <c r="C185" s="845">
        <f t="shared" si="67"/>
        <v>28</v>
      </c>
      <c r="D185" s="845">
        <f>D180-SUM(D183,D184)</f>
        <v>10</v>
      </c>
      <c r="E185" s="846">
        <f aca="true" t="shared" si="69" ref="E185:E191">SUM(F185:G185)</f>
        <v>11</v>
      </c>
      <c r="F185" s="845">
        <f aca="true" t="shared" si="70" ref="F185:O185">F180-SUM(F183,F184)</f>
        <v>0</v>
      </c>
      <c r="G185" s="845">
        <f t="shared" si="70"/>
        <v>11</v>
      </c>
      <c r="H185" s="845">
        <f t="shared" si="70"/>
        <v>0</v>
      </c>
      <c r="I185" s="845">
        <f t="shared" si="70"/>
        <v>7</v>
      </c>
      <c r="J185" s="845">
        <f t="shared" si="70"/>
        <v>0</v>
      </c>
      <c r="K185" s="845">
        <f t="shared" si="70"/>
        <v>0</v>
      </c>
      <c r="L185" s="845">
        <f t="shared" si="70"/>
        <v>0</v>
      </c>
      <c r="M185" s="845">
        <f t="shared" si="70"/>
        <v>0</v>
      </c>
      <c r="N185" s="845">
        <f t="shared" si="70"/>
        <v>0</v>
      </c>
      <c r="O185" s="845">
        <f t="shared" si="70"/>
        <v>0</v>
      </c>
    </row>
    <row r="186" spans="1:15" ht="15" hidden="1">
      <c r="A186" s="508" t="s">
        <v>51</v>
      </c>
      <c r="B186" s="394" t="s">
        <v>137</v>
      </c>
      <c r="C186" s="845">
        <f t="shared" si="67"/>
        <v>14</v>
      </c>
      <c r="D186" s="847">
        <f>SUM(D187:D193)</f>
        <v>6</v>
      </c>
      <c r="E186" s="846">
        <f t="shared" si="69"/>
        <v>4</v>
      </c>
      <c r="F186" s="847">
        <f aca="true" t="shared" si="71" ref="F186:N186">SUM(F187:F193)</f>
        <v>0</v>
      </c>
      <c r="G186" s="847">
        <f t="shared" si="71"/>
        <v>4</v>
      </c>
      <c r="H186" s="847">
        <f t="shared" si="71"/>
        <v>0</v>
      </c>
      <c r="I186" s="847">
        <f t="shared" si="71"/>
        <v>4</v>
      </c>
      <c r="J186" s="847">
        <f t="shared" si="71"/>
        <v>0</v>
      </c>
      <c r="K186" s="847">
        <f t="shared" si="71"/>
        <v>0</v>
      </c>
      <c r="L186" s="847">
        <f t="shared" si="71"/>
        <v>0</v>
      </c>
      <c r="M186" s="847">
        <f t="shared" si="71"/>
        <v>0</v>
      </c>
      <c r="N186" s="847">
        <f t="shared" si="71"/>
        <v>0</v>
      </c>
      <c r="O186" s="847">
        <f>SUM(O187:O193)</f>
        <v>0</v>
      </c>
    </row>
    <row r="187" spans="1:15" ht="15.75" hidden="1">
      <c r="A187" s="507" t="s">
        <v>53</v>
      </c>
      <c r="B187" s="429" t="s">
        <v>138</v>
      </c>
      <c r="C187" s="843">
        <f aca="true" t="shared" si="72" ref="C187:C194">D187+E187+H187+I187+J187+K187+L187+M187+N187+O187</f>
        <v>2</v>
      </c>
      <c r="D187" s="817">
        <v>0</v>
      </c>
      <c r="E187" s="848">
        <f t="shared" si="69"/>
        <v>2</v>
      </c>
      <c r="F187" s="908"/>
      <c r="G187" s="908">
        <v>2</v>
      </c>
      <c r="H187" s="908"/>
      <c r="I187" s="908">
        <v>0</v>
      </c>
      <c r="J187" s="908"/>
      <c r="K187" s="908"/>
      <c r="L187" s="908"/>
      <c r="M187" s="908"/>
      <c r="N187" s="908"/>
      <c r="O187" s="908"/>
    </row>
    <row r="188" spans="1:15" ht="15.75" hidden="1">
      <c r="A188" s="507" t="s">
        <v>54</v>
      </c>
      <c r="B188" s="429" t="s">
        <v>139</v>
      </c>
      <c r="C188" s="843">
        <f t="shared" si="72"/>
        <v>0</v>
      </c>
      <c r="D188" s="818">
        <v>0</v>
      </c>
      <c r="E188" s="848">
        <f t="shared" si="69"/>
        <v>0</v>
      </c>
      <c r="F188" s="906"/>
      <c r="G188" s="906"/>
      <c r="H188" s="906"/>
      <c r="I188" s="906"/>
      <c r="J188" s="906"/>
      <c r="K188" s="906"/>
      <c r="L188" s="906"/>
      <c r="M188" s="906"/>
      <c r="N188" s="906"/>
      <c r="O188" s="906"/>
    </row>
    <row r="189" spans="1:15" ht="15.75" hidden="1">
      <c r="A189" s="507" t="s">
        <v>140</v>
      </c>
      <c r="B189" s="429" t="s">
        <v>141</v>
      </c>
      <c r="C189" s="843">
        <f t="shared" si="72"/>
        <v>12</v>
      </c>
      <c r="D189" s="818">
        <v>6</v>
      </c>
      <c r="E189" s="848">
        <f t="shared" si="69"/>
        <v>2</v>
      </c>
      <c r="F189" s="906"/>
      <c r="G189" s="906">
        <v>2</v>
      </c>
      <c r="H189" s="906"/>
      <c r="I189" s="906">
        <v>4</v>
      </c>
      <c r="J189" s="906"/>
      <c r="K189" s="906"/>
      <c r="L189" s="906"/>
      <c r="M189" s="906"/>
      <c r="N189" s="906"/>
      <c r="O189" s="906"/>
    </row>
    <row r="190" spans="1:15" ht="15.75" hidden="1">
      <c r="A190" s="507" t="s">
        <v>142</v>
      </c>
      <c r="B190" s="429" t="s">
        <v>143</v>
      </c>
      <c r="C190" s="843">
        <f t="shared" si="72"/>
        <v>0</v>
      </c>
      <c r="D190" s="818"/>
      <c r="E190" s="848">
        <f t="shared" si="69"/>
        <v>0</v>
      </c>
      <c r="F190" s="906"/>
      <c r="G190" s="906"/>
      <c r="H190" s="906"/>
      <c r="I190" s="906"/>
      <c r="J190" s="906"/>
      <c r="K190" s="906"/>
      <c r="L190" s="906"/>
      <c r="M190" s="906"/>
      <c r="N190" s="906"/>
      <c r="O190" s="906"/>
    </row>
    <row r="191" spans="1:15" ht="15.75" hidden="1">
      <c r="A191" s="507" t="s">
        <v>144</v>
      </c>
      <c r="B191" s="429" t="s">
        <v>145</v>
      </c>
      <c r="C191" s="843">
        <f t="shared" si="72"/>
        <v>0</v>
      </c>
      <c r="D191" s="818"/>
      <c r="E191" s="848">
        <f t="shared" si="69"/>
        <v>0</v>
      </c>
      <c r="F191" s="906"/>
      <c r="G191" s="906"/>
      <c r="H191" s="906"/>
      <c r="I191" s="906"/>
      <c r="J191" s="906"/>
      <c r="K191" s="906"/>
      <c r="L191" s="906"/>
      <c r="M191" s="906"/>
      <c r="N191" s="906"/>
      <c r="O191" s="906"/>
    </row>
    <row r="192" spans="1:15" ht="25.5" hidden="1">
      <c r="A192" s="507" t="s">
        <v>146</v>
      </c>
      <c r="B192" s="431" t="s">
        <v>147</v>
      </c>
      <c r="C192" s="843">
        <f t="shared" si="72"/>
        <v>0</v>
      </c>
      <c r="D192" s="818"/>
      <c r="E192" s="848">
        <f>SUM(F192:G192)</f>
        <v>0</v>
      </c>
      <c r="F192" s="906"/>
      <c r="G192" s="906"/>
      <c r="H192" s="906"/>
      <c r="I192" s="906"/>
      <c r="J192" s="906"/>
      <c r="K192" s="906"/>
      <c r="L192" s="906"/>
      <c r="M192" s="906"/>
      <c r="N192" s="906"/>
      <c r="O192" s="906"/>
    </row>
    <row r="193" spans="1:15" ht="15.75" hidden="1">
      <c r="A193" s="507" t="s">
        <v>148</v>
      </c>
      <c r="B193" s="429" t="s">
        <v>149</v>
      </c>
      <c r="C193" s="843">
        <f t="shared" si="72"/>
        <v>0</v>
      </c>
      <c r="D193" s="818"/>
      <c r="E193" s="848">
        <f>SUM(F193:G193)</f>
        <v>0</v>
      </c>
      <c r="F193" s="842"/>
      <c r="G193" s="842"/>
      <c r="H193" s="842"/>
      <c r="I193" s="842"/>
      <c r="J193" s="842"/>
      <c r="K193" s="842"/>
      <c r="L193" s="842"/>
      <c r="M193" s="842"/>
      <c r="N193" s="842"/>
      <c r="O193" s="842"/>
    </row>
    <row r="194" spans="1:15" ht="15" hidden="1">
      <c r="A194" s="508" t="s">
        <v>52</v>
      </c>
      <c r="B194" s="394" t="s">
        <v>150</v>
      </c>
      <c r="C194" s="806">
        <f t="shared" si="72"/>
        <v>14</v>
      </c>
      <c r="D194" s="806">
        <f>D185-D186</f>
        <v>4</v>
      </c>
      <c r="E194" s="814">
        <f>SUM(F194:G194)</f>
        <v>7</v>
      </c>
      <c r="F194" s="806">
        <f>F185-F186</f>
        <v>0</v>
      </c>
      <c r="G194" s="806">
        <f>G185-G186</f>
        <v>7</v>
      </c>
      <c r="H194" s="806">
        <f>H185-H186</f>
        <v>0</v>
      </c>
      <c r="I194" s="806">
        <f aca="true" t="shared" si="73" ref="I194:N194">I185-I186</f>
        <v>3</v>
      </c>
      <c r="J194" s="806">
        <f t="shared" si="73"/>
        <v>0</v>
      </c>
      <c r="K194" s="806">
        <f t="shared" si="73"/>
        <v>0</v>
      </c>
      <c r="L194" s="806">
        <f t="shared" si="73"/>
        <v>0</v>
      </c>
      <c r="M194" s="806">
        <f t="shared" si="73"/>
        <v>0</v>
      </c>
      <c r="N194" s="806">
        <f t="shared" si="73"/>
        <v>0</v>
      </c>
      <c r="O194" s="806">
        <f>O180-O186</f>
        <v>0</v>
      </c>
    </row>
    <row r="195" spans="1:15" ht="25.5" hidden="1">
      <c r="A195" s="509" t="s">
        <v>540</v>
      </c>
      <c r="B195" s="432" t="s">
        <v>151</v>
      </c>
      <c r="C195" s="516">
        <f>(C187+C188)/C186</f>
        <v>0.14285714285714285</v>
      </c>
      <c r="D195" s="516">
        <f aca="true" t="shared" si="74" ref="D195:O195">(D187+D188)/D186</f>
        <v>0</v>
      </c>
      <c r="E195" s="516">
        <f t="shared" si="74"/>
        <v>0.5</v>
      </c>
      <c r="F195" s="516" t="e">
        <f t="shared" si="74"/>
        <v>#DIV/0!</v>
      </c>
      <c r="G195" s="516">
        <f t="shared" si="74"/>
        <v>0.5</v>
      </c>
      <c r="H195" s="516" t="e">
        <f t="shared" si="74"/>
        <v>#DIV/0!</v>
      </c>
      <c r="I195" s="516">
        <f t="shared" si="74"/>
        <v>0</v>
      </c>
      <c r="J195" s="516" t="e">
        <f t="shared" si="74"/>
        <v>#DIV/0!</v>
      </c>
      <c r="K195" s="516" t="e">
        <f t="shared" si="74"/>
        <v>#DIV/0!</v>
      </c>
      <c r="L195" s="516" t="e">
        <f t="shared" si="74"/>
        <v>#DIV/0!</v>
      </c>
      <c r="M195" s="516" t="e">
        <f t="shared" si="74"/>
        <v>#DIV/0!</v>
      </c>
      <c r="N195" s="516" t="e">
        <f t="shared" si="74"/>
        <v>#DIV/0!</v>
      </c>
      <c r="O195" s="516" t="e">
        <f t="shared" si="74"/>
        <v>#DIV/0!</v>
      </c>
    </row>
    <row r="196" ht="15" hidden="1"/>
    <row r="197" ht="15" hidden="1">
      <c r="B197" s="388" t="s">
        <v>743</v>
      </c>
    </row>
    <row r="198" ht="15" hidden="1"/>
    <row r="199" spans="1:15" ht="15" hidden="1">
      <c r="A199" s="1501" t="s">
        <v>68</v>
      </c>
      <c r="B199" s="1501"/>
      <c r="C199" s="1501" t="s">
        <v>37</v>
      </c>
      <c r="D199" s="1501" t="s">
        <v>335</v>
      </c>
      <c r="E199" s="1501"/>
      <c r="F199" s="1501"/>
      <c r="G199" s="1501"/>
      <c r="H199" s="1501"/>
      <c r="I199" s="1501"/>
      <c r="J199" s="1501"/>
      <c r="K199" s="1501"/>
      <c r="L199" s="1501"/>
      <c r="M199" s="1501"/>
      <c r="N199" s="1501"/>
      <c r="O199" s="1501"/>
    </row>
    <row r="200" spans="1:15" ht="15" hidden="1">
      <c r="A200" s="1501"/>
      <c r="B200" s="1501"/>
      <c r="C200" s="1501"/>
      <c r="D200" s="1518" t="s">
        <v>119</v>
      </c>
      <c r="E200" s="1516" t="s">
        <v>120</v>
      </c>
      <c r="F200" s="1516"/>
      <c r="G200" s="1516"/>
      <c r="H200" s="1516" t="s">
        <v>121</v>
      </c>
      <c r="I200" s="1516" t="s">
        <v>122</v>
      </c>
      <c r="J200" s="1516" t="s">
        <v>123</v>
      </c>
      <c r="K200" s="1516" t="s">
        <v>124</v>
      </c>
      <c r="L200" s="1516" t="s">
        <v>125</v>
      </c>
      <c r="M200" s="1516" t="s">
        <v>126</v>
      </c>
      <c r="N200" s="1516" t="s">
        <v>183</v>
      </c>
      <c r="O200" s="1516" t="s">
        <v>127</v>
      </c>
    </row>
    <row r="201" spans="1:15" ht="15" hidden="1">
      <c r="A201" s="1501"/>
      <c r="B201" s="1501"/>
      <c r="C201" s="1501"/>
      <c r="D201" s="1518"/>
      <c r="E201" s="1516" t="s">
        <v>36</v>
      </c>
      <c r="F201" s="1516" t="s">
        <v>7</v>
      </c>
      <c r="G201" s="1516"/>
      <c r="H201" s="1516"/>
      <c r="I201" s="1516"/>
      <c r="J201" s="1516"/>
      <c r="K201" s="1516"/>
      <c r="L201" s="1516"/>
      <c r="M201" s="1516"/>
      <c r="N201" s="1516"/>
      <c r="O201" s="1516"/>
    </row>
    <row r="202" spans="1:15" ht="30" hidden="1">
      <c r="A202" s="1501"/>
      <c r="B202" s="1501"/>
      <c r="C202" s="1501"/>
      <c r="D202" s="1518"/>
      <c r="E202" s="1516"/>
      <c r="F202" s="560" t="s">
        <v>128</v>
      </c>
      <c r="G202" s="560" t="s">
        <v>129</v>
      </c>
      <c r="H202" s="1516"/>
      <c r="I202" s="1516"/>
      <c r="J202" s="1516"/>
      <c r="K202" s="1516"/>
      <c r="L202" s="1516"/>
      <c r="M202" s="1516"/>
      <c r="N202" s="1516"/>
      <c r="O202" s="1516"/>
    </row>
    <row r="203" spans="1:15" ht="15" hidden="1">
      <c r="A203" s="1517" t="s">
        <v>39</v>
      </c>
      <c r="B203" s="1517"/>
      <c r="C203" s="517">
        <v>1</v>
      </c>
      <c r="D203" s="517">
        <v>2</v>
      </c>
      <c r="E203" s="517">
        <v>3</v>
      </c>
      <c r="F203" s="517">
        <v>4</v>
      </c>
      <c r="G203" s="517">
        <v>5</v>
      </c>
      <c r="H203" s="517">
        <v>6</v>
      </c>
      <c r="I203" s="517">
        <v>7</v>
      </c>
      <c r="J203" s="517">
        <v>8</v>
      </c>
      <c r="K203" s="517">
        <v>9</v>
      </c>
      <c r="L203" s="517">
        <v>10</v>
      </c>
      <c r="M203" s="517">
        <v>11</v>
      </c>
      <c r="N203" s="517">
        <v>12</v>
      </c>
      <c r="O203" s="517">
        <v>13</v>
      </c>
    </row>
    <row r="204" spans="1:15" ht="15" hidden="1">
      <c r="A204" s="508" t="s">
        <v>0</v>
      </c>
      <c r="B204" s="438" t="s">
        <v>130</v>
      </c>
      <c r="C204" s="806">
        <f aca="true" t="shared" si="75" ref="C204:C210">SUM(D204,E204,H204:O204)</f>
        <v>26</v>
      </c>
      <c r="D204" s="814">
        <f aca="true" t="shared" si="76" ref="D204:O204">SUM(D205:D206)</f>
        <v>14</v>
      </c>
      <c r="E204" s="814">
        <f t="shared" si="76"/>
        <v>5</v>
      </c>
      <c r="F204" s="814">
        <f t="shared" si="76"/>
        <v>0</v>
      </c>
      <c r="G204" s="814">
        <f t="shared" si="76"/>
        <v>5</v>
      </c>
      <c r="H204" s="814">
        <f t="shared" si="76"/>
        <v>0</v>
      </c>
      <c r="I204" s="814">
        <f t="shared" si="76"/>
        <v>7</v>
      </c>
      <c r="J204" s="814">
        <f t="shared" si="76"/>
        <v>0</v>
      </c>
      <c r="K204" s="814">
        <f t="shared" si="76"/>
        <v>0</v>
      </c>
      <c r="L204" s="814">
        <f t="shared" si="76"/>
        <v>0</v>
      </c>
      <c r="M204" s="814">
        <f t="shared" si="76"/>
        <v>0</v>
      </c>
      <c r="N204" s="814">
        <f t="shared" si="76"/>
        <v>0</v>
      </c>
      <c r="O204" s="814">
        <f t="shared" si="76"/>
        <v>0</v>
      </c>
    </row>
    <row r="205" spans="1:15" ht="15.75" hidden="1">
      <c r="A205" s="507">
        <v>1</v>
      </c>
      <c r="B205" s="429" t="s">
        <v>131</v>
      </c>
      <c r="C205" s="843">
        <f t="shared" si="75"/>
        <v>10</v>
      </c>
      <c r="D205" s="924">
        <v>5</v>
      </c>
      <c r="E205" s="844">
        <f>F205+G205</f>
        <v>2</v>
      </c>
      <c r="F205" s="924">
        <v>0</v>
      </c>
      <c r="G205" s="924">
        <v>2</v>
      </c>
      <c r="H205" s="924">
        <v>0</v>
      </c>
      <c r="I205" s="924">
        <v>3</v>
      </c>
      <c r="J205" s="924">
        <v>0</v>
      </c>
      <c r="K205" s="924"/>
      <c r="L205" s="924"/>
      <c r="M205" s="924"/>
      <c r="N205" s="968"/>
      <c r="O205" s="968"/>
    </row>
    <row r="206" spans="1:15" ht="15.75" hidden="1">
      <c r="A206" s="507">
        <v>2</v>
      </c>
      <c r="B206" s="429" t="s">
        <v>132</v>
      </c>
      <c r="C206" s="843">
        <f t="shared" si="75"/>
        <v>16</v>
      </c>
      <c r="D206" s="923">
        <v>9</v>
      </c>
      <c r="E206" s="844">
        <f>F206+G206</f>
        <v>3</v>
      </c>
      <c r="F206" s="1137">
        <v>0</v>
      </c>
      <c r="G206" s="923">
        <v>3</v>
      </c>
      <c r="H206" s="923">
        <v>0</v>
      </c>
      <c r="I206" s="923">
        <v>4</v>
      </c>
      <c r="J206" s="920">
        <v>0</v>
      </c>
      <c r="K206" s="920"/>
      <c r="L206" s="920"/>
      <c r="M206" s="920"/>
      <c r="N206" s="920"/>
      <c r="O206" s="920"/>
    </row>
    <row r="207" spans="1:15" ht="15.75" hidden="1">
      <c r="A207" s="508" t="s">
        <v>1</v>
      </c>
      <c r="B207" s="394" t="s">
        <v>133</v>
      </c>
      <c r="C207" s="843">
        <f t="shared" si="75"/>
        <v>0</v>
      </c>
      <c r="D207" s="920"/>
      <c r="E207" s="844">
        <f>F207+G207</f>
        <v>0</v>
      </c>
      <c r="F207" s="969"/>
      <c r="G207" s="920"/>
      <c r="H207" s="920"/>
      <c r="I207" s="920"/>
      <c r="J207" s="920"/>
      <c r="K207" s="920"/>
      <c r="L207" s="920"/>
      <c r="M207" s="920"/>
      <c r="N207" s="920"/>
      <c r="O207" s="920"/>
    </row>
    <row r="208" spans="1:15" ht="15.75" hidden="1">
      <c r="A208" s="508" t="s">
        <v>9</v>
      </c>
      <c r="B208" s="394" t="s">
        <v>134</v>
      </c>
      <c r="C208" s="843">
        <f t="shared" si="75"/>
        <v>0</v>
      </c>
      <c r="D208" s="920"/>
      <c r="E208" s="844"/>
      <c r="F208" s="969"/>
      <c r="G208" s="920"/>
      <c r="H208" s="920"/>
      <c r="I208" s="920"/>
      <c r="J208" s="920"/>
      <c r="K208" s="920"/>
      <c r="L208" s="920"/>
      <c r="M208" s="920"/>
      <c r="N208" s="920"/>
      <c r="O208" s="920"/>
    </row>
    <row r="209" spans="1:15" ht="15" hidden="1">
      <c r="A209" s="508" t="s">
        <v>135</v>
      </c>
      <c r="B209" s="394" t="s">
        <v>136</v>
      </c>
      <c r="C209" s="845">
        <f t="shared" si="75"/>
        <v>26</v>
      </c>
      <c r="D209" s="845">
        <f>D204-SUM(D207,D208)</f>
        <v>14</v>
      </c>
      <c r="E209" s="846">
        <f aca="true" t="shared" si="77" ref="E209:E215">SUM(F209:G209)</f>
        <v>5</v>
      </c>
      <c r="F209" s="845">
        <f aca="true" t="shared" si="78" ref="F209:O209">F204-SUM(F207,F208)</f>
        <v>0</v>
      </c>
      <c r="G209" s="845">
        <f t="shared" si="78"/>
        <v>5</v>
      </c>
      <c r="H209" s="845">
        <f t="shared" si="78"/>
        <v>0</v>
      </c>
      <c r="I209" s="845">
        <f>I204-SUM(I207,I208)</f>
        <v>7</v>
      </c>
      <c r="J209" s="845">
        <f t="shared" si="78"/>
        <v>0</v>
      </c>
      <c r="K209" s="845">
        <f t="shared" si="78"/>
        <v>0</v>
      </c>
      <c r="L209" s="845">
        <f t="shared" si="78"/>
        <v>0</v>
      </c>
      <c r="M209" s="845">
        <f t="shared" si="78"/>
        <v>0</v>
      </c>
      <c r="N209" s="845">
        <f t="shared" si="78"/>
        <v>0</v>
      </c>
      <c r="O209" s="845">
        <f t="shared" si="78"/>
        <v>0</v>
      </c>
    </row>
    <row r="210" spans="1:15" ht="15" hidden="1">
      <c r="A210" s="508" t="s">
        <v>51</v>
      </c>
      <c r="B210" s="394" t="s">
        <v>137</v>
      </c>
      <c r="C210" s="845">
        <f t="shared" si="75"/>
        <v>13</v>
      </c>
      <c r="D210" s="847">
        <f>SUM(D211:D217)</f>
        <v>7</v>
      </c>
      <c r="E210" s="846">
        <f t="shared" si="77"/>
        <v>2</v>
      </c>
      <c r="F210" s="847">
        <f aca="true" t="shared" si="79" ref="F210:N210">SUM(F211:F217)</f>
        <v>0</v>
      </c>
      <c r="G210" s="847">
        <f t="shared" si="79"/>
        <v>2</v>
      </c>
      <c r="H210" s="847">
        <f t="shared" si="79"/>
        <v>0</v>
      </c>
      <c r="I210" s="847">
        <f t="shared" si="79"/>
        <v>4</v>
      </c>
      <c r="J210" s="847">
        <f t="shared" si="79"/>
        <v>0</v>
      </c>
      <c r="K210" s="847">
        <f t="shared" si="79"/>
        <v>0</v>
      </c>
      <c r="L210" s="847">
        <f t="shared" si="79"/>
        <v>0</v>
      </c>
      <c r="M210" s="847">
        <f t="shared" si="79"/>
        <v>0</v>
      </c>
      <c r="N210" s="847">
        <f t="shared" si="79"/>
        <v>0</v>
      </c>
      <c r="O210" s="847">
        <f>SUM(O211:O217)</f>
        <v>0</v>
      </c>
    </row>
    <row r="211" spans="1:15" ht="15.75" hidden="1">
      <c r="A211" s="507" t="s">
        <v>53</v>
      </c>
      <c r="B211" s="429" t="s">
        <v>138</v>
      </c>
      <c r="C211" s="843">
        <f aca="true" t="shared" si="80" ref="C211:C218">D211+E211+H211+I211+J211+K211+L211+M211+N211+O211</f>
        <v>5</v>
      </c>
      <c r="D211" s="971">
        <v>3</v>
      </c>
      <c r="E211" s="848">
        <f t="shared" si="77"/>
        <v>1</v>
      </c>
      <c r="F211" s="971">
        <v>0</v>
      </c>
      <c r="G211" s="970">
        <v>1</v>
      </c>
      <c r="H211" s="971">
        <v>0</v>
      </c>
      <c r="I211" s="970">
        <v>1</v>
      </c>
      <c r="J211" s="971">
        <v>0</v>
      </c>
      <c r="K211" s="971"/>
      <c r="L211" s="971"/>
      <c r="M211" s="971"/>
      <c r="N211" s="971"/>
      <c r="O211" s="971"/>
    </row>
    <row r="212" spans="1:15" ht="15.75" hidden="1">
      <c r="A212" s="507" t="s">
        <v>54</v>
      </c>
      <c r="B212" s="429" t="s">
        <v>139</v>
      </c>
      <c r="C212" s="843">
        <f t="shared" si="80"/>
        <v>0</v>
      </c>
      <c r="D212" s="971">
        <v>0</v>
      </c>
      <c r="E212" s="848">
        <f t="shared" si="77"/>
        <v>0</v>
      </c>
      <c r="F212" s="971">
        <v>0</v>
      </c>
      <c r="G212" s="970"/>
      <c r="H212" s="971">
        <v>0</v>
      </c>
      <c r="I212" s="971">
        <v>0</v>
      </c>
      <c r="J212" s="971">
        <v>0</v>
      </c>
      <c r="K212" s="971"/>
      <c r="L212" s="971"/>
      <c r="M212" s="971"/>
      <c r="N212" s="971"/>
      <c r="O212" s="971"/>
    </row>
    <row r="213" spans="1:15" ht="15.75" hidden="1">
      <c r="A213" s="507" t="s">
        <v>140</v>
      </c>
      <c r="B213" s="429" t="s">
        <v>141</v>
      </c>
      <c r="C213" s="843">
        <f t="shared" si="80"/>
        <v>8</v>
      </c>
      <c r="D213" s="970">
        <v>4</v>
      </c>
      <c r="E213" s="848">
        <f t="shared" si="77"/>
        <v>1</v>
      </c>
      <c r="F213" s="971">
        <v>0</v>
      </c>
      <c r="G213" s="970">
        <v>1</v>
      </c>
      <c r="H213" s="971"/>
      <c r="I213" s="970">
        <v>3</v>
      </c>
      <c r="J213" s="971"/>
      <c r="K213" s="842"/>
      <c r="L213" s="842"/>
      <c r="M213" s="842"/>
      <c r="N213" s="842"/>
      <c r="O213" s="842"/>
    </row>
    <row r="214" spans="1:15" ht="15" hidden="1">
      <c r="A214" s="507" t="s">
        <v>142</v>
      </c>
      <c r="B214" s="429" t="s">
        <v>143</v>
      </c>
      <c r="C214" s="843">
        <f t="shared" si="80"/>
        <v>0</v>
      </c>
      <c r="D214" s="842"/>
      <c r="E214" s="848">
        <f t="shared" si="77"/>
        <v>0</v>
      </c>
      <c r="F214" s="842"/>
      <c r="G214" s="842"/>
      <c r="H214" s="842"/>
      <c r="I214" s="842"/>
      <c r="J214" s="842"/>
      <c r="K214" s="842"/>
      <c r="L214" s="842"/>
      <c r="M214" s="842"/>
      <c r="N214" s="842"/>
      <c r="O214" s="842"/>
    </row>
    <row r="215" spans="1:15" ht="15" hidden="1">
      <c r="A215" s="507" t="s">
        <v>144</v>
      </c>
      <c r="B215" s="429" t="s">
        <v>145</v>
      </c>
      <c r="C215" s="843">
        <f t="shared" si="80"/>
        <v>0</v>
      </c>
      <c r="D215" s="842"/>
      <c r="E215" s="848">
        <f t="shared" si="77"/>
        <v>0</v>
      </c>
      <c r="F215" s="842"/>
      <c r="G215" s="842"/>
      <c r="H215" s="842"/>
      <c r="I215" s="842"/>
      <c r="J215" s="842"/>
      <c r="K215" s="842"/>
      <c r="L215" s="842"/>
      <c r="M215" s="842"/>
      <c r="N215" s="842"/>
      <c r="O215" s="842"/>
    </row>
    <row r="216" spans="1:15" ht="25.5" hidden="1">
      <c r="A216" s="507" t="s">
        <v>146</v>
      </c>
      <c r="B216" s="431" t="s">
        <v>147</v>
      </c>
      <c r="C216" s="843">
        <f t="shared" si="80"/>
        <v>0</v>
      </c>
      <c r="D216" s="842"/>
      <c r="E216" s="848">
        <f>SUM(F216:G216)</f>
        <v>0</v>
      </c>
      <c r="F216" s="842"/>
      <c r="G216" s="842"/>
      <c r="H216" s="842"/>
      <c r="I216" s="842"/>
      <c r="J216" s="842"/>
      <c r="K216" s="842"/>
      <c r="L216" s="842"/>
      <c r="M216" s="842"/>
      <c r="N216" s="842"/>
      <c r="O216" s="842"/>
    </row>
    <row r="217" spans="1:15" ht="15" hidden="1">
      <c r="A217" s="507" t="s">
        <v>148</v>
      </c>
      <c r="B217" s="429" t="s">
        <v>149</v>
      </c>
      <c r="C217" s="843">
        <f t="shared" si="80"/>
        <v>0</v>
      </c>
      <c r="D217" s="842"/>
      <c r="E217" s="848">
        <f>SUM(F217:G217)</f>
        <v>0</v>
      </c>
      <c r="F217" s="842"/>
      <c r="G217" s="842"/>
      <c r="H217" s="842"/>
      <c r="I217" s="842"/>
      <c r="J217" s="842"/>
      <c r="K217" s="842"/>
      <c r="L217" s="842"/>
      <c r="M217" s="842"/>
      <c r="N217" s="842"/>
      <c r="O217" s="842"/>
    </row>
    <row r="218" spans="1:15" ht="15" hidden="1">
      <c r="A218" s="508" t="s">
        <v>52</v>
      </c>
      <c r="B218" s="394" t="s">
        <v>150</v>
      </c>
      <c r="C218" s="806">
        <f t="shared" si="80"/>
        <v>13</v>
      </c>
      <c r="D218" s="806">
        <f>D209-D210</f>
        <v>7</v>
      </c>
      <c r="E218" s="814">
        <f>SUM(F218:G218)</f>
        <v>3</v>
      </c>
      <c r="F218" s="806">
        <f>F209-F210</f>
        <v>0</v>
      </c>
      <c r="G218" s="806">
        <f>G209-G210</f>
        <v>3</v>
      </c>
      <c r="H218" s="806">
        <f>H209-H210</f>
        <v>0</v>
      </c>
      <c r="I218" s="806">
        <f aca="true" t="shared" si="81" ref="I218:N218">I209-I210</f>
        <v>3</v>
      </c>
      <c r="J218" s="806">
        <f t="shared" si="81"/>
        <v>0</v>
      </c>
      <c r="K218" s="806">
        <f t="shared" si="81"/>
        <v>0</v>
      </c>
      <c r="L218" s="806">
        <f t="shared" si="81"/>
        <v>0</v>
      </c>
      <c r="M218" s="806">
        <f t="shared" si="81"/>
        <v>0</v>
      </c>
      <c r="N218" s="806">
        <f t="shared" si="81"/>
        <v>0</v>
      </c>
      <c r="O218" s="806">
        <f>O204-O210</f>
        <v>0</v>
      </c>
    </row>
    <row r="219" spans="1:15" ht="25.5" hidden="1">
      <c r="A219" s="509" t="s">
        <v>540</v>
      </c>
      <c r="B219" s="432" t="s">
        <v>151</v>
      </c>
      <c r="C219" s="516">
        <f>(C211+C212)/C210</f>
        <v>0.38461538461538464</v>
      </c>
      <c r="D219" s="516">
        <f aca="true" t="shared" si="82" ref="D219:O219">(D211+D212)/D210</f>
        <v>0.42857142857142855</v>
      </c>
      <c r="E219" s="516">
        <f t="shared" si="82"/>
        <v>0.5</v>
      </c>
      <c r="F219" s="516" t="e">
        <f t="shared" si="82"/>
        <v>#DIV/0!</v>
      </c>
      <c r="G219" s="516">
        <f t="shared" si="82"/>
        <v>0.5</v>
      </c>
      <c r="H219" s="516" t="e">
        <f t="shared" si="82"/>
        <v>#DIV/0!</v>
      </c>
      <c r="I219" s="516">
        <f t="shared" si="82"/>
        <v>0.25</v>
      </c>
      <c r="J219" s="516" t="e">
        <f t="shared" si="82"/>
        <v>#DIV/0!</v>
      </c>
      <c r="K219" s="516" t="e">
        <f t="shared" si="82"/>
        <v>#DIV/0!</v>
      </c>
      <c r="L219" s="516" t="e">
        <f t="shared" si="82"/>
        <v>#DIV/0!</v>
      </c>
      <c r="M219" s="516" t="e">
        <f t="shared" si="82"/>
        <v>#DIV/0!</v>
      </c>
      <c r="N219" s="516" t="e">
        <f t="shared" si="82"/>
        <v>#DIV/0!</v>
      </c>
      <c r="O219" s="516" t="e">
        <f t="shared" si="82"/>
        <v>#DIV/0!</v>
      </c>
    </row>
    <row r="220" ht="15"/>
  </sheetData>
  <sheetProtection/>
  <mergeCells count="152">
    <mergeCell ref="O200:O202"/>
    <mergeCell ref="E201:E202"/>
    <mergeCell ref="F201:G201"/>
    <mergeCell ref="A203:B203"/>
    <mergeCell ref="A199:B202"/>
    <mergeCell ref="C199:C202"/>
    <mergeCell ref="D199:O199"/>
    <mergeCell ref="D200:D202"/>
    <mergeCell ref="K200:K202"/>
    <mergeCell ref="L200:L202"/>
    <mergeCell ref="M200:M202"/>
    <mergeCell ref="N200:N202"/>
    <mergeCell ref="E200:G200"/>
    <mergeCell ref="H200:H202"/>
    <mergeCell ref="I200:I202"/>
    <mergeCell ref="J200:J202"/>
    <mergeCell ref="A179:B179"/>
    <mergeCell ref="A175:B178"/>
    <mergeCell ref="C175:C178"/>
    <mergeCell ref="D175:O175"/>
    <mergeCell ref="D176:D178"/>
    <mergeCell ref="L176:L178"/>
    <mergeCell ref="M176:M178"/>
    <mergeCell ref="N176:N178"/>
    <mergeCell ref="O176:O178"/>
    <mergeCell ref="E176:G176"/>
    <mergeCell ref="H176:H178"/>
    <mergeCell ref="I176:I178"/>
    <mergeCell ref="J176:J178"/>
    <mergeCell ref="E177:E178"/>
    <mergeCell ref="K176:K178"/>
    <mergeCell ref="A156:B156"/>
    <mergeCell ref="F177:G177"/>
    <mergeCell ref="A152:B155"/>
    <mergeCell ref="C152:C155"/>
    <mergeCell ref="D152:O152"/>
    <mergeCell ref="D153:D155"/>
    <mergeCell ref="N153:N155"/>
    <mergeCell ref="O153:O155"/>
    <mergeCell ref="E154:E155"/>
    <mergeCell ref="F154:G154"/>
    <mergeCell ref="E153:G153"/>
    <mergeCell ref="H153:H155"/>
    <mergeCell ref="A133:B133"/>
    <mergeCell ref="A129:B132"/>
    <mergeCell ref="C129:C132"/>
    <mergeCell ref="D129:O129"/>
    <mergeCell ref="D130:D132"/>
    <mergeCell ref="O130:O132"/>
    <mergeCell ref="E131:E132"/>
    <mergeCell ref="F131:G131"/>
    <mergeCell ref="E130:G130"/>
    <mergeCell ref="H130:H132"/>
    <mergeCell ref="I153:I155"/>
    <mergeCell ref="J153:J155"/>
    <mergeCell ref="L153:L155"/>
    <mergeCell ref="M153:M155"/>
    <mergeCell ref="K130:K132"/>
    <mergeCell ref="L130:L132"/>
    <mergeCell ref="M130:M132"/>
    <mergeCell ref="K153:K155"/>
    <mergeCell ref="I130:I132"/>
    <mergeCell ref="J130:J132"/>
    <mergeCell ref="O107:O109"/>
    <mergeCell ref="N107:N109"/>
    <mergeCell ref="N130:N132"/>
    <mergeCell ref="A110:B110"/>
    <mergeCell ref="A106:B109"/>
    <mergeCell ref="C106:C109"/>
    <mergeCell ref="D106:O106"/>
    <mergeCell ref="D107:D109"/>
    <mergeCell ref="K107:K109"/>
    <mergeCell ref="L107:L109"/>
    <mergeCell ref="M107:M109"/>
    <mergeCell ref="E107:G107"/>
    <mergeCell ref="H107:H109"/>
    <mergeCell ref="I107:I109"/>
    <mergeCell ref="J107:J109"/>
    <mergeCell ref="E108:E109"/>
    <mergeCell ref="F108:G108"/>
    <mergeCell ref="O84:O86"/>
    <mergeCell ref="E85:E86"/>
    <mergeCell ref="F85:G85"/>
    <mergeCell ref="A87:B87"/>
    <mergeCell ref="A83:B86"/>
    <mergeCell ref="C83:C86"/>
    <mergeCell ref="D83:O83"/>
    <mergeCell ref="D84:D86"/>
    <mergeCell ref="K84:K86"/>
    <mergeCell ref="L84:L86"/>
    <mergeCell ref="M84:M86"/>
    <mergeCell ref="N84:N86"/>
    <mergeCell ref="E84:G84"/>
    <mergeCell ref="H84:H86"/>
    <mergeCell ref="I84:I86"/>
    <mergeCell ref="J84:J86"/>
    <mergeCell ref="O61:O63"/>
    <mergeCell ref="E62:E63"/>
    <mergeCell ref="F62:G62"/>
    <mergeCell ref="A64:B64"/>
    <mergeCell ref="A60:B63"/>
    <mergeCell ref="C60:C63"/>
    <mergeCell ref="D60:O60"/>
    <mergeCell ref="D61:D63"/>
    <mergeCell ref="K61:K63"/>
    <mergeCell ref="L61:L63"/>
    <mergeCell ref="M61:M63"/>
    <mergeCell ref="N61:N63"/>
    <mergeCell ref="E61:G61"/>
    <mergeCell ref="H61:H63"/>
    <mergeCell ref="I61:I63"/>
    <mergeCell ref="J61:J63"/>
    <mergeCell ref="A40:B40"/>
    <mergeCell ref="A36:B39"/>
    <mergeCell ref="C36:C39"/>
    <mergeCell ref="D36:O36"/>
    <mergeCell ref="D37:D39"/>
    <mergeCell ref="K37:K39"/>
    <mergeCell ref="L37:L39"/>
    <mergeCell ref="H37:H39"/>
    <mergeCell ref="I37:I39"/>
    <mergeCell ref="J37:J39"/>
    <mergeCell ref="O7:O9"/>
    <mergeCell ref="L7:L9"/>
    <mergeCell ref="I7:I9"/>
    <mergeCell ref="E7:G7"/>
    <mergeCell ref="O37:O39"/>
    <mergeCell ref="E38:E39"/>
    <mergeCell ref="F38:G38"/>
    <mergeCell ref="M37:M39"/>
    <mergeCell ref="N37:N39"/>
    <mergeCell ref="E37:G37"/>
    <mergeCell ref="H7:H9"/>
    <mergeCell ref="J7:J9"/>
    <mergeCell ref="K7:K9"/>
    <mergeCell ref="D7:D9"/>
    <mergeCell ref="A1:B1"/>
    <mergeCell ref="D1:K1"/>
    <mergeCell ref="D2:K2"/>
    <mergeCell ref="A6:B9"/>
    <mergeCell ref="C6:C9"/>
    <mergeCell ref="D3:K3"/>
    <mergeCell ref="L1:O1"/>
    <mergeCell ref="L2:O2"/>
    <mergeCell ref="L3:O3"/>
    <mergeCell ref="M7:M9"/>
    <mergeCell ref="L4:O4"/>
    <mergeCell ref="A10:B10"/>
    <mergeCell ref="F8:G8"/>
    <mergeCell ref="E8:E9"/>
    <mergeCell ref="D6:O6"/>
    <mergeCell ref="N7:N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0" zoomScaleNormal="80" zoomScaleSheetLayoutView="85" zoomScalePageLayoutView="0" workbookViewId="0" topLeftCell="A13">
      <selection activeCell="C30" sqref="C30"/>
    </sheetView>
  </sheetViews>
  <sheetFormatPr defaultColWidth="9.00390625" defaultRowHeight="15.75"/>
  <cols>
    <col min="1" max="1" width="4.25390625" style="423" customWidth="1"/>
    <col min="2" max="2" width="47.375" style="423" customWidth="1"/>
    <col min="3" max="3" width="39.75390625" style="423" customWidth="1"/>
    <col min="4" max="16384" width="9.00390625" style="423" customWidth="1"/>
  </cols>
  <sheetData>
    <row r="1" spans="1:3" s="435" customFormat="1" ht="39.75" customHeight="1">
      <c r="A1" s="1521" t="s">
        <v>556</v>
      </c>
      <c r="B1" s="1522"/>
      <c r="C1" s="1522"/>
    </row>
    <row r="2" spans="1:3" ht="21" customHeight="1">
      <c r="A2" s="1523" t="s">
        <v>69</v>
      </c>
      <c r="B2" s="1524"/>
      <c r="C2" s="439" t="s">
        <v>338</v>
      </c>
    </row>
    <row r="3" spans="1:3" s="442" customFormat="1" ht="15" customHeight="1">
      <c r="A3" s="1525" t="s">
        <v>6</v>
      </c>
      <c r="B3" s="1526"/>
      <c r="C3" s="441">
        <v>1</v>
      </c>
    </row>
    <row r="4" spans="1:3" s="443" customFormat="1" ht="19.5" customHeight="1">
      <c r="A4" s="440" t="s">
        <v>51</v>
      </c>
      <c r="B4" s="521" t="s">
        <v>554</v>
      </c>
      <c r="C4" s="402">
        <f>C5+C6+C7+C8+C9+C10+C11+C12+C13</f>
        <v>27</v>
      </c>
    </row>
    <row r="5" spans="1:3" s="26" customFormat="1" ht="19.5" customHeight="1">
      <c r="A5" s="444" t="s">
        <v>53</v>
      </c>
      <c r="B5" s="522" t="s">
        <v>167</v>
      </c>
      <c r="C5" s="406"/>
    </row>
    <row r="6" spans="1:3" s="26" customFormat="1" ht="19.5" customHeight="1">
      <c r="A6" s="445" t="s">
        <v>54</v>
      </c>
      <c r="B6" s="522" t="s">
        <v>169</v>
      </c>
      <c r="C6" s="406"/>
    </row>
    <row r="7" spans="1:3" s="26" customFormat="1" ht="19.5" customHeight="1">
      <c r="A7" s="445" t="s">
        <v>140</v>
      </c>
      <c r="B7" s="522" t="s">
        <v>179</v>
      </c>
      <c r="C7" s="406">
        <f>1</f>
        <v>1</v>
      </c>
    </row>
    <row r="8" spans="1:3" s="26" customFormat="1" ht="19.5" customHeight="1">
      <c r="A8" s="445" t="s">
        <v>142</v>
      </c>
      <c r="B8" s="522" t="s">
        <v>171</v>
      </c>
      <c r="C8" s="406">
        <f>6+18+2</f>
        <v>26</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560</v>
      </c>
      <c r="B13" s="522" t="s">
        <v>159</v>
      </c>
      <c r="C13" s="406"/>
    </row>
    <row r="14" spans="1:3" s="446" customFormat="1" ht="19.5" customHeight="1">
      <c r="A14" s="440" t="s">
        <v>52</v>
      </c>
      <c r="B14" s="521" t="s">
        <v>552</v>
      </c>
      <c r="C14" s="402">
        <f>C15+C16</f>
        <v>4</v>
      </c>
    </row>
    <row r="15" spans="1:3" s="446" customFormat="1" ht="19.5" customHeight="1">
      <c r="A15" s="444" t="s">
        <v>55</v>
      </c>
      <c r="B15" s="522" t="s">
        <v>187</v>
      </c>
      <c r="C15" s="406">
        <f>4</f>
        <v>4</v>
      </c>
    </row>
    <row r="16" spans="1:3" s="446" customFormat="1" ht="19.5" customHeight="1">
      <c r="A16" s="444" t="s">
        <v>56</v>
      </c>
      <c r="B16" s="522" t="s">
        <v>159</v>
      </c>
      <c r="C16" s="406"/>
    </row>
    <row r="17" spans="1:3" s="443" customFormat="1" ht="19.5" customHeight="1">
      <c r="A17" s="440" t="s">
        <v>57</v>
      </c>
      <c r="B17" s="521" t="s">
        <v>149</v>
      </c>
      <c r="C17" s="402">
        <f>C18+C19+C20</f>
        <v>2</v>
      </c>
    </row>
    <row r="18" spans="1:3" s="26" customFormat="1" ht="19.5" customHeight="1">
      <c r="A18" s="444" t="s">
        <v>160</v>
      </c>
      <c r="B18" s="522" t="s">
        <v>188</v>
      </c>
      <c r="C18" s="406">
        <f>1</f>
        <v>1</v>
      </c>
    </row>
    <row r="19" spans="1:3" s="26" customFormat="1" ht="30">
      <c r="A19" s="445" t="s">
        <v>162</v>
      </c>
      <c r="B19" s="522" t="s">
        <v>163</v>
      </c>
      <c r="C19" s="406">
        <f>1</f>
        <v>1</v>
      </c>
    </row>
    <row r="20" spans="1:3" s="26" customFormat="1" ht="33.75" customHeight="1">
      <c r="A20" s="445" t="s">
        <v>164</v>
      </c>
      <c r="B20" s="522" t="s">
        <v>165</v>
      </c>
      <c r="C20" s="406"/>
    </row>
    <row r="21" spans="1:3" s="26" customFormat="1" ht="19.5" customHeight="1">
      <c r="A21" s="440" t="s">
        <v>72</v>
      </c>
      <c r="B21" s="521" t="s">
        <v>549</v>
      </c>
      <c r="C21" s="402">
        <f>C22+C23+C24+C25+C26+C27+C28</f>
        <v>9</v>
      </c>
    </row>
    <row r="22" spans="1:3" s="26" customFormat="1" ht="19.5" customHeight="1">
      <c r="A22" s="445" t="s">
        <v>166</v>
      </c>
      <c r="B22" s="522" t="s">
        <v>167</v>
      </c>
      <c r="C22" s="406">
        <f>1</f>
        <v>1</v>
      </c>
    </row>
    <row r="23" spans="1:3" s="26" customFormat="1" ht="19.5" customHeight="1">
      <c r="A23" s="445" t="s">
        <v>168</v>
      </c>
      <c r="B23" s="522" t="s">
        <v>169</v>
      </c>
      <c r="C23" s="406"/>
    </row>
    <row r="24" spans="1:3" s="26" customFormat="1" ht="19.5" customHeight="1">
      <c r="A24" s="445" t="s">
        <v>170</v>
      </c>
      <c r="B24" s="522" t="s">
        <v>189</v>
      </c>
      <c r="C24" s="406">
        <f>5+2+1</f>
        <v>8</v>
      </c>
    </row>
    <row r="25" spans="1:3" s="26" customFormat="1" ht="19.5" customHeight="1">
      <c r="A25" s="445" t="s">
        <v>172</v>
      </c>
      <c r="B25" s="522" t="s">
        <v>154</v>
      </c>
      <c r="C25" s="406"/>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553</v>
      </c>
      <c r="C29" s="402">
        <f>C30+C31+C32</f>
        <v>239</v>
      </c>
    </row>
    <row r="30" spans="1:3" ht="19.5" customHeight="1">
      <c r="A30" s="445" t="s">
        <v>176</v>
      </c>
      <c r="B30" s="522" t="s">
        <v>167</v>
      </c>
      <c r="C30" s="406">
        <v>239</v>
      </c>
    </row>
    <row r="31" spans="1:3" s="26" customFormat="1" ht="19.5" customHeight="1">
      <c r="A31" s="445" t="s">
        <v>177</v>
      </c>
      <c r="B31" s="522" t="s">
        <v>169</v>
      </c>
      <c r="C31" s="406"/>
    </row>
    <row r="32" spans="1:3" s="26" customFormat="1" ht="19.5" customHeight="1">
      <c r="A32" s="445" t="s">
        <v>178</v>
      </c>
      <c r="B32" s="522" t="s">
        <v>189</v>
      </c>
      <c r="C32" s="406"/>
    </row>
    <row r="33" spans="1:3" s="26" customFormat="1" ht="25.5" customHeight="1">
      <c r="A33" s="1527" t="str">
        <f>'Thong tin'!B8</f>
        <v>Tuyên Quang, ngày 05 tháng 04 năm 2017</v>
      </c>
      <c r="B33" s="1527"/>
      <c r="C33" s="1527"/>
    </row>
    <row r="34" spans="1:3" s="26" customFormat="1" ht="18.75">
      <c r="A34" s="1520" t="s">
        <v>4</v>
      </c>
      <c r="B34" s="1520"/>
      <c r="C34" s="523" t="str">
        <f>'Thong tin'!B7</f>
        <v>CỤC TRƯỞNG</v>
      </c>
    </row>
    <row r="35" spans="1:3" s="26" customFormat="1" ht="18.75">
      <c r="A35" s="524"/>
      <c r="B35" s="525"/>
      <c r="C35" s="525"/>
    </row>
    <row r="36" spans="1:3" s="26" customFormat="1" ht="15.75">
      <c r="A36" s="524"/>
      <c r="B36" s="526"/>
      <c r="C36" s="526"/>
    </row>
    <row r="37" spans="1:3" s="26" customFormat="1" ht="15.75">
      <c r="A37" s="524"/>
      <c r="B37" s="524"/>
      <c r="C37" s="524"/>
    </row>
    <row r="38" spans="1:3" ht="15.75">
      <c r="A38" s="527"/>
      <c r="B38" s="528"/>
      <c r="C38" s="529"/>
    </row>
    <row r="39" spans="1:3" ht="15.75">
      <c r="A39" s="530"/>
      <c r="B39" s="529"/>
      <c r="C39" s="530"/>
    </row>
    <row r="40" spans="1:3" s="443" customFormat="1" ht="18.75">
      <c r="A40" s="1519" t="str">
        <f>'Thong tin'!B5</f>
        <v>Duy Thị Thúy</v>
      </c>
      <c r="B40" s="1519"/>
      <c r="C40" s="531" t="str">
        <f>'Thong tin'!B6</f>
        <v>Nguyễn Tuyên </v>
      </c>
    </row>
  </sheetData>
  <sheetProtection/>
  <mergeCells count="6">
    <mergeCell ref="A40:B40"/>
    <mergeCell ref="A34:B34"/>
    <mergeCell ref="A1:C1"/>
    <mergeCell ref="A2:B2"/>
    <mergeCell ref="A3:B3"/>
    <mergeCell ref="A33:C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29"/>
  <sheetViews>
    <sheetView showZeros="0" zoomScaleSheetLayoutView="85" zoomScalePageLayoutView="0" workbookViewId="0" topLeftCell="A1">
      <selection activeCell="B29" sqref="B29"/>
    </sheetView>
  </sheetViews>
  <sheetFormatPr defaultColWidth="9.00390625" defaultRowHeight="15.75"/>
  <cols>
    <col min="1" max="1" width="4.125" style="435"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1" width="7.25390625" style="388" customWidth="1"/>
    <col min="12" max="12" width="8.25390625" style="388" customWidth="1"/>
    <col min="13" max="13" width="7.125" style="388" customWidth="1"/>
    <col min="14" max="14" width="9.50390625" style="388" customWidth="1"/>
    <col min="15" max="16384" width="9.00390625" style="388" customWidth="1"/>
  </cols>
  <sheetData>
    <row r="1" spans="1:15" ht="23.25" customHeight="1">
      <c r="A1" s="1530" t="s">
        <v>30</v>
      </c>
      <c r="B1" s="1530"/>
      <c r="C1" s="451"/>
      <c r="D1" s="452" t="s">
        <v>193</v>
      </c>
      <c r="E1" s="452"/>
      <c r="F1" s="452"/>
      <c r="G1" s="452"/>
      <c r="H1" s="452"/>
      <c r="I1" s="452"/>
      <c r="J1" s="453"/>
      <c r="K1" s="419"/>
      <c r="L1" s="421" t="s">
        <v>542</v>
      </c>
      <c r="M1" s="433"/>
      <c r="N1" s="414"/>
      <c r="O1" s="414"/>
    </row>
    <row r="2" spans="1:15" ht="16.5" customHeight="1">
      <c r="A2" s="1531" t="s">
        <v>342</v>
      </c>
      <c r="B2" s="1531"/>
      <c r="C2" s="1531"/>
      <c r="D2" s="1503" t="s">
        <v>117</v>
      </c>
      <c r="E2" s="1503"/>
      <c r="F2" s="1503"/>
      <c r="G2" s="1503"/>
      <c r="H2" s="1503"/>
      <c r="I2" s="1503"/>
      <c r="J2" s="452"/>
      <c r="K2" s="421"/>
      <c r="L2" s="454" t="str">
        <f>'Thong tin'!B4</f>
        <v>Cục THADS tỉnh Tuyên Quang</v>
      </c>
      <c r="M2" s="421"/>
      <c r="N2" s="414"/>
      <c r="O2" s="424"/>
    </row>
    <row r="3" spans="1:15" ht="16.5" customHeight="1">
      <c r="A3" s="1531" t="s">
        <v>343</v>
      </c>
      <c r="B3" s="1531"/>
      <c r="C3" s="414"/>
      <c r="D3" s="1497" t="str">
        <f>'Thong tin'!B3</f>
        <v>06 tháng / năm 2017</v>
      </c>
      <c r="E3" s="1497"/>
      <c r="F3" s="1497"/>
      <c r="G3" s="1497"/>
      <c r="H3" s="1497"/>
      <c r="I3" s="1497"/>
      <c r="J3" s="455"/>
      <c r="K3" s="419"/>
      <c r="L3" s="421" t="s">
        <v>509</v>
      </c>
      <c r="M3" s="433"/>
      <c r="N3" s="414"/>
      <c r="O3" s="456"/>
    </row>
    <row r="4" spans="1:15" ht="16.5" customHeight="1">
      <c r="A4" s="433" t="s">
        <v>118</v>
      </c>
      <c r="B4" s="433"/>
      <c r="C4" s="420"/>
      <c r="D4" s="421"/>
      <c r="E4" s="421"/>
      <c r="F4" s="420"/>
      <c r="G4" s="422"/>
      <c r="H4" s="422"/>
      <c r="I4" s="422"/>
      <c r="J4" s="420"/>
      <c r="K4" s="421"/>
      <c r="L4" s="454" t="s">
        <v>410</v>
      </c>
      <c r="M4" s="421"/>
      <c r="N4" s="414"/>
      <c r="O4" s="456"/>
    </row>
    <row r="5" spans="1:15" ht="16.5" customHeight="1">
      <c r="A5" s="423"/>
      <c r="B5" s="420"/>
      <c r="C5" s="457"/>
      <c r="D5" s="420"/>
      <c r="E5" s="420"/>
      <c r="F5" s="424"/>
      <c r="G5" s="425"/>
      <c r="H5" s="425"/>
      <c r="I5" s="425"/>
      <c r="J5" s="424"/>
      <c r="K5" s="426"/>
      <c r="L5" s="426" t="s">
        <v>194</v>
      </c>
      <c r="M5" s="426"/>
      <c r="N5" s="414"/>
      <c r="O5" s="456"/>
    </row>
    <row r="6" spans="1:15" ht="18.75" customHeight="1">
      <c r="A6" s="1478" t="s">
        <v>68</v>
      </c>
      <c r="B6" s="1479"/>
      <c r="C6" s="1501" t="s">
        <v>37</v>
      </c>
      <c r="D6" s="1487" t="s">
        <v>336</v>
      </c>
      <c r="E6" s="1488"/>
      <c r="F6" s="1488"/>
      <c r="G6" s="1488"/>
      <c r="H6" s="1488"/>
      <c r="I6" s="1488"/>
      <c r="J6" s="1488"/>
      <c r="K6" s="1488"/>
      <c r="L6" s="1488"/>
      <c r="M6" s="1488"/>
      <c r="N6" s="1489"/>
      <c r="O6" s="458"/>
    </row>
    <row r="7" spans="1:15" ht="27" customHeight="1">
      <c r="A7" s="1480"/>
      <c r="B7" s="1481"/>
      <c r="C7" s="1501"/>
      <c r="D7" s="1474" t="s">
        <v>195</v>
      </c>
      <c r="E7" s="1498" t="s">
        <v>196</v>
      </c>
      <c r="F7" s="1499"/>
      <c r="G7" s="1500"/>
      <c r="H7" s="1474" t="s">
        <v>197</v>
      </c>
      <c r="I7" s="1474" t="s">
        <v>122</v>
      </c>
      <c r="J7" s="1474" t="s">
        <v>198</v>
      </c>
      <c r="K7" s="1474" t="s">
        <v>124</v>
      </c>
      <c r="L7" s="1474" t="s">
        <v>125</v>
      </c>
      <c r="M7" s="1474" t="s">
        <v>126</v>
      </c>
      <c r="N7" s="1516" t="s">
        <v>127</v>
      </c>
      <c r="O7" s="456"/>
    </row>
    <row r="8" spans="1:15" ht="18" customHeight="1">
      <c r="A8" s="1480"/>
      <c r="B8" s="1481"/>
      <c r="C8" s="1501"/>
      <c r="D8" s="1474"/>
      <c r="E8" s="1473" t="s">
        <v>36</v>
      </c>
      <c r="F8" s="1476" t="s">
        <v>7</v>
      </c>
      <c r="G8" s="1477"/>
      <c r="H8" s="1474"/>
      <c r="I8" s="1474"/>
      <c r="J8" s="1474"/>
      <c r="K8" s="1474"/>
      <c r="L8" s="1474"/>
      <c r="M8" s="1474"/>
      <c r="N8" s="1516"/>
      <c r="O8" s="459"/>
    </row>
    <row r="9" spans="1:15" ht="26.25" customHeight="1">
      <c r="A9" s="1482"/>
      <c r="B9" s="1483"/>
      <c r="C9" s="1501"/>
      <c r="D9" s="1475"/>
      <c r="E9" s="1475"/>
      <c r="F9" s="559" t="s">
        <v>199</v>
      </c>
      <c r="G9" s="560" t="s">
        <v>200</v>
      </c>
      <c r="H9" s="1475"/>
      <c r="I9" s="1475"/>
      <c r="J9" s="1475"/>
      <c r="K9" s="1475"/>
      <c r="L9" s="1475"/>
      <c r="M9" s="1475"/>
      <c r="N9" s="1516"/>
      <c r="O9" s="459"/>
    </row>
    <row r="10" spans="1:15" s="462" customFormat="1" ht="20.25" customHeight="1">
      <c r="A10" s="1528" t="s">
        <v>39</v>
      </c>
      <c r="B10" s="1529"/>
      <c r="C10" s="460">
        <v>1</v>
      </c>
      <c r="D10" s="460">
        <v>2</v>
      </c>
      <c r="E10" s="460">
        <v>3</v>
      </c>
      <c r="F10" s="460">
        <v>4</v>
      </c>
      <c r="G10" s="460">
        <v>5</v>
      </c>
      <c r="H10" s="460">
        <v>6</v>
      </c>
      <c r="I10" s="460">
        <v>7</v>
      </c>
      <c r="J10" s="460">
        <v>8</v>
      </c>
      <c r="K10" s="460">
        <v>9</v>
      </c>
      <c r="L10" s="460">
        <v>10</v>
      </c>
      <c r="M10" s="460">
        <v>11</v>
      </c>
      <c r="N10" s="460">
        <v>12</v>
      </c>
      <c r="O10" s="461"/>
    </row>
    <row r="11" spans="1:15" ht="21" customHeight="1">
      <c r="A11" s="506" t="s">
        <v>0</v>
      </c>
      <c r="B11" s="427" t="s">
        <v>130</v>
      </c>
      <c r="C11" s="806">
        <f aca="true" t="shared" si="0" ref="C11:C16">SUM(D11,E11,H11:N11)</f>
        <v>11430035</v>
      </c>
      <c r="D11" s="814">
        <f>SUM(D12:D13)</f>
        <v>1907917</v>
      </c>
      <c r="E11" s="814">
        <f aca="true" t="shared" si="1" ref="E11:N11">SUM(E12:E13)</f>
        <v>8278851</v>
      </c>
      <c r="F11" s="814">
        <f t="shared" si="1"/>
        <v>1368151</v>
      </c>
      <c r="G11" s="814">
        <f t="shared" si="1"/>
        <v>6910700</v>
      </c>
      <c r="H11" s="814">
        <f t="shared" si="1"/>
        <v>0</v>
      </c>
      <c r="I11" s="814">
        <f t="shared" si="1"/>
        <v>353812</v>
      </c>
      <c r="J11" s="814">
        <f t="shared" si="1"/>
        <v>320490</v>
      </c>
      <c r="K11" s="814">
        <f>SUM(K12:K13)</f>
        <v>1724</v>
      </c>
      <c r="L11" s="814">
        <f t="shared" si="1"/>
        <v>0</v>
      </c>
      <c r="M11" s="814">
        <f t="shared" si="1"/>
        <v>0</v>
      </c>
      <c r="N11" s="814">
        <f t="shared" si="1"/>
        <v>567241</v>
      </c>
      <c r="O11" s="458"/>
    </row>
    <row r="12" spans="1:15" ht="21" customHeight="1">
      <c r="A12" s="507">
        <v>1</v>
      </c>
      <c r="B12" s="429" t="s">
        <v>131</v>
      </c>
      <c r="C12" s="811">
        <f t="shared" si="0"/>
        <v>8528666</v>
      </c>
      <c r="D12" s="406">
        <f>D45+D69+D93+D117+D142+D166+D190+D214</f>
        <v>1421046</v>
      </c>
      <c r="E12" s="816">
        <f>SUM(F12:G12)</f>
        <v>6646239</v>
      </c>
      <c r="F12" s="406">
        <f>F45+F69+F93+F117+F142+F166+F190+F214</f>
        <v>1299654</v>
      </c>
      <c r="G12" s="406">
        <f aca="true" t="shared" si="2" ref="G12:N12">G45+G69+G93+G117+G142+G166+G190+G214</f>
        <v>5346585</v>
      </c>
      <c r="H12" s="406">
        <f t="shared" si="2"/>
        <v>0</v>
      </c>
      <c r="I12" s="406">
        <f t="shared" si="2"/>
        <v>215740</v>
      </c>
      <c r="J12" s="406">
        <f t="shared" si="2"/>
        <v>216910</v>
      </c>
      <c r="K12" s="406">
        <f t="shared" si="2"/>
        <v>1724</v>
      </c>
      <c r="L12" s="406">
        <f t="shared" si="2"/>
        <v>0</v>
      </c>
      <c r="M12" s="406">
        <f t="shared" si="2"/>
        <v>0</v>
      </c>
      <c r="N12" s="406">
        <f t="shared" si="2"/>
        <v>27007</v>
      </c>
      <c r="O12" s="456"/>
    </row>
    <row r="13" spans="1:15" ht="21" customHeight="1">
      <c r="A13" s="507">
        <v>2</v>
      </c>
      <c r="B13" s="429" t="s">
        <v>132</v>
      </c>
      <c r="C13" s="811">
        <f t="shared" si="0"/>
        <v>2901369</v>
      </c>
      <c r="D13" s="406">
        <f>D46+D70+D94+D118+D143+D167+D191+D215</f>
        <v>486871</v>
      </c>
      <c r="E13" s="816">
        <f>SUM(F13:G13)</f>
        <v>1632612</v>
      </c>
      <c r="F13" s="406">
        <f aca="true" t="shared" si="3" ref="F13:N14">F46+F70+F94+F118+F143+F167+F191+F215</f>
        <v>68497</v>
      </c>
      <c r="G13" s="406">
        <f t="shared" si="3"/>
        <v>1564115</v>
      </c>
      <c r="H13" s="406">
        <f t="shared" si="3"/>
        <v>0</v>
      </c>
      <c r="I13" s="406">
        <f t="shared" si="3"/>
        <v>138072</v>
      </c>
      <c r="J13" s="406">
        <f t="shared" si="3"/>
        <v>103580</v>
      </c>
      <c r="K13" s="406">
        <f t="shared" si="3"/>
        <v>0</v>
      </c>
      <c r="L13" s="406">
        <f t="shared" si="3"/>
        <v>0</v>
      </c>
      <c r="M13" s="406">
        <f t="shared" si="3"/>
        <v>0</v>
      </c>
      <c r="N13" s="406">
        <f t="shared" si="3"/>
        <v>540234</v>
      </c>
      <c r="O13" s="456"/>
    </row>
    <row r="14" spans="1:15" ht="21" customHeight="1">
      <c r="A14" s="508" t="s">
        <v>1</v>
      </c>
      <c r="B14" s="394" t="s">
        <v>133</v>
      </c>
      <c r="C14" s="811">
        <f t="shared" si="0"/>
        <v>128676</v>
      </c>
      <c r="D14" s="406">
        <f>D47+D71+D95+D119+D144+D168+D192+D216</f>
        <v>9790</v>
      </c>
      <c r="E14" s="816">
        <f>SUM(F14:G14)</f>
        <v>118486</v>
      </c>
      <c r="F14" s="406">
        <f t="shared" si="3"/>
        <v>20700</v>
      </c>
      <c r="G14" s="406">
        <f t="shared" si="3"/>
        <v>97786</v>
      </c>
      <c r="H14" s="406">
        <f t="shared" si="3"/>
        <v>0</v>
      </c>
      <c r="I14" s="406">
        <f t="shared" si="3"/>
        <v>400</v>
      </c>
      <c r="J14" s="406">
        <f t="shared" si="3"/>
        <v>0</v>
      </c>
      <c r="K14" s="406">
        <f t="shared" si="3"/>
        <v>0</v>
      </c>
      <c r="L14" s="406">
        <f t="shared" si="3"/>
        <v>0</v>
      </c>
      <c r="M14" s="406">
        <f t="shared" si="3"/>
        <v>0</v>
      </c>
      <c r="N14" s="406">
        <f t="shared" si="3"/>
        <v>0</v>
      </c>
      <c r="O14" s="456"/>
    </row>
    <row r="15" spans="1:15" ht="21" customHeight="1">
      <c r="A15" s="508" t="s">
        <v>9</v>
      </c>
      <c r="B15" s="394" t="s">
        <v>134</v>
      </c>
      <c r="C15" s="811">
        <f t="shared" si="0"/>
        <v>0</v>
      </c>
      <c r="D15" s="406"/>
      <c r="E15" s="816">
        <f>SUM(F15:G15)</f>
        <v>0</v>
      </c>
      <c r="F15" s="406"/>
      <c r="G15" s="406"/>
      <c r="H15" s="406"/>
      <c r="I15" s="406"/>
      <c r="J15" s="406"/>
      <c r="K15" s="406"/>
      <c r="L15" s="406"/>
      <c r="M15" s="406"/>
      <c r="N15" s="406"/>
      <c r="O15" s="456"/>
    </row>
    <row r="16" spans="1:15" ht="21" customHeight="1">
      <c r="A16" s="508" t="s">
        <v>135</v>
      </c>
      <c r="B16" s="394" t="s">
        <v>136</v>
      </c>
      <c r="C16" s="806">
        <f t="shared" si="0"/>
        <v>11301359</v>
      </c>
      <c r="D16" s="807">
        <f>D11-SUM(D14,D15)</f>
        <v>1898127</v>
      </c>
      <c r="E16" s="807">
        <f aca="true" t="shared" si="4" ref="E16:N16">E11-SUM(E14,E15)</f>
        <v>8160365</v>
      </c>
      <c r="F16" s="807">
        <f t="shared" si="4"/>
        <v>1347451</v>
      </c>
      <c r="G16" s="807">
        <f t="shared" si="4"/>
        <v>6812914</v>
      </c>
      <c r="H16" s="807">
        <f t="shared" si="4"/>
        <v>0</v>
      </c>
      <c r="I16" s="807">
        <f t="shared" si="4"/>
        <v>353412</v>
      </c>
      <c r="J16" s="807">
        <f t="shared" si="4"/>
        <v>320490</v>
      </c>
      <c r="K16" s="807">
        <f t="shared" si="4"/>
        <v>1724</v>
      </c>
      <c r="L16" s="807">
        <f t="shared" si="4"/>
        <v>0</v>
      </c>
      <c r="M16" s="807">
        <f t="shared" si="4"/>
        <v>0</v>
      </c>
      <c r="N16" s="807">
        <f t="shared" si="4"/>
        <v>567241</v>
      </c>
      <c r="O16" s="458"/>
    </row>
    <row r="17" spans="1:15" ht="21" customHeight="1">
      <c r="A17" s="508" t="s">
        <v>51</v>
      </c>
      <c r="B17" s="430" t="s">
        <v>137</v>
      </c>
      <c r="C17" s="815">
        <f aca="true" t="shared" si="5" ref="C17:N17">SUM(C18:C25)</f>
        <v>3819506</v>
      </c>
      <c r="D17" s="815">
        <f t="shared" si="5"/>
        <v>1020573</v>
      </c>
      <c r="E17" s="815">
        <f>SUM(E18:E25)</f>
        <v>1655202</v>
      </c>
      <c r="F17" s="815">
        <f t="shared" si="5"/>
        <v>136143</v>
      </c>
      <c r="G17" s="815">
        <f t="shared" si="5"/>
        <v>1519059</v>
      </c>
      <c r="H17" s="815">
        <f t="shared" si="5"/>
        <v>0</v>
      </c>
      <c r="I17" s="815">
        <f t="shared" si="5"/>
        <v>305858</v>
      </c>
      <c r="J17" s="815">
        <f t="shared" si="5"/>
        <v>270832</v>
      </c>
      <c r="K17" s="815">
        <f t="shared" si="5"/>
        <v>0</v>
      </c>
      <c r="L17" s="815">
        <f t="shared" si="5"/>
        <v>0</v>
      </c>
      <c r="M17" s="815">
        <f t="shared" si="5"/>
        <v>0</v>
      </c>
      <c r="N17" s="815">
        <f t="shared" si="5"/>
        <v>567041</v>
      </c>
      <c r="O17" s="453"/>
    </row>
    <row r="18" spans="1:15" ht="21" customHeight="1">
      <c r="A18" s="507" t="s">
        <v>53</v>
      </c>
      <c r="B18" s="429" t="s">
        <v>138</v>
      </c>
      <c r="C18" s="811">
        <f>SUM(C51+C75+C99+C123+C148+C172+C196+C220)</f>
        <v>2159661</v>
      </c>
      <c r="D18" s="406">
        <f>D51+D75+D99+D123+D148+D172+D196+D220</f>
        <v>363314</v>
      </c>
      <c r="E18" s="816">
        <f aca="true" t="shared" si="6" ref="E18:E23">SUM(F18:G18)</f>
        <v>1102537</v>
      </c>
      <c r="F18" s="406">
        <f>F51+F75+F99+F123+F148+F172+F196+F220</f>
        <v>44341</v>
      </c>
      <c r="G18" s="406">
        <f aca="true" t="shared" si="7" ref="G18:N18">G51+G75+G99+G123+G148+G172+G196+G220</f>
        <v>1058196</v>
      </c>
      <c r="H18" s="406">
        <f t="shared" si="7"/>
        <v>0</v>
      </c>
      <c r="I18" s="406">
        <f t="shared" si="7"/>
        <v>141797</v>
      </c>
      <c r="J18" s="406">
        <f t="shared" si="7"/>
        <v>33833</v>
      </c>
      <c r="K18" s="406">
        <f t="shared" si="7"/>
        <v>0</v>
      </c>
      <c r="L18" s="406">
        <f t="shared" si="7"/>
        <v>0</v>
      </c>
      <c r="M18" s="406">
        <f t="shared" si="7"/>
        <v>0</v>
      </c>
      <c r="N18" s="406">
        <f t="shared" si="7"/>
        <v>518180</v>
      </c>
      <c r="O18" s="414"/>
    </row>
    <row r="19" spans="1:15" ht="21" customHeight="1">
      <c r="A19" s="507" t="s">
        <v>54</v>
      </c>
      <c r="B19" s="429" t="s">
        <v>139</v>
      </c>
      <c r="C19" s="811">
        <f>SUM(C52+C76+C100+C124+C149+C173+C197+C221)</f>
        <v>188319</v>
      </c>
      <c r="D19" s="406">
        <f aca="true" t="shared" si="8" ref="D19:D25">D52+D76+D100+D124+D149+D173+D197+D221</f>
        <v>7484</v>
      </c>
      <c r="E19" s="816">
        <f t="shared" si="6"/>
        <v>180835</v>
      </c>
      <c r="F19" s="406">
        <f aca="true" t="shared" si="9" ref="F19:N25">F52+F76+F100+F124+F149+F173+F197+F221</f>
        <v>59732</v>
      </c>
      <c r="G19" s="406">
        <f t="shared" si="9"/>
        <v>121103</v>
      </c>
      <c r="H19" s="406">
        <f t="shared" si="9"/>
        <v>0</v>
      </c>
      <c r="I19" s="406">
        <f t="shared" si="9"/>
        <v>0</v>
      </c>
      <c r="J19" s="406">
        <f t="shared" si="9"/>
        <v>0</v>
      </c>
      <c r="K19" s="406">
        <f t="shared" si="9"/>
        <v>0</v>
      </c>
      <c r="L19" s="406">
        <f t="shared" si="9"/>
        <v>0</v>
      </c>
      <c r="M19" s="406">
        <f t="shared" si="9"/>
        <v>0</v>
      </c>
      <c r="N19" s="406">
        <f t="shared" si="9"/>
        <v>0</v>
      </c>
      <c r="O19" s="414"/>
    </row>
    <row r="20" spans="1:15" ht="21" customHeight="1">
      <c r="A20" s="507" t="s">
        <v>140</v>
      </c>
      <c r="B20" s="429" t="s">
        <v>201</v>
      </c>
      <c r="C20" s="811">
        <f>SUM(C53+C77+C101+C125+C150+C174+C198+C222)</f>
        <v>31002</v>
      </c>
      <c r="D20" s="406">
        <f t="shared" si="8"/>
        <v>0</v>
      </c>
      <c r="E20" s="816">
        <f t="shared" si="6"/>
        <v>31002</v>
      </c>
      <c r="F20" s="406">
        <f t="shared" si="9"/>
        <v>15655</v>
      </c>
      <c r="G20" s="406">
        <f t="shared" si="9"/>
        <v>15347</v>
      </c>
      <c r="H20" s="406">
        <f t="shared" si="9"/>
        <v>0</v>
      </c>
      <c r="I20" s="406">
        <f t="shared" si="9"/>
        <v>0</v>
      </c>
      <c r="J20" s="406">
        <f t="shared" si="9"/>
        <v>0</v>
      </c>
      <c r="K20" s="406">
        <f t="shared" si="9"/>
        <v>0</v>
      </c>
      <c r="L20" s="406">
        <f t="shared" si="9"/>
        <v>0</v>
      </c>
      <c r="M20" s="406">
        <f t="shared" si="9"/>
        <v>0</v>
      </c>
      <c r="N20" s="406">
        <f t="shared" si="9"/>
        <v>0</v>
      </c>
      <c r="O20" s="414"/>
    </row>
    <row r="21" spans="1:15" ht="15.75">
      <c r="A21" s="507" t="s">
        <v>142</v>
      </c>
      <c r="B21" s="429" t="s">
        <v>141</v>
      </c>
      <c r="C21" s="811">
        <f>SUM(C54+C78+C102+C126+C151+C175+C199+C223)</f>
        <v>996250</v>
      </c>
      <c r="D21" s="406">
        <f t="shared" si="8"/>
        <v>289176</v>
      </c>
      <c r="E21" s="816">
        <f t="shared" si="6"/>
        <v>333033</v>
      </c>
      <c r="F21" s="406">
        <f t="shared" si="9"/>
        <v>16415</v>
      </c>
      <c r="G21" s="406">
        <f t="shared" si="9"/>
        <v>316618</v>
      </c>
      <c r="H21" s="406">
        <f t="shared" si="9"/>
        <v>0</v>
      </c>
      <c r="I21" s="406">
        <f t="shared" si="9"/>
        <v>88331</v>
      </c>
      <c r="J21" s="406">
        <f t="shared" si="9"/>
        <v>236999</v>
      </c>
      <c r="K21" s="406">
        <f t="shared" si="9"/>
        <v>0</v>
      </c>
      <c r="L21" s="406">
        <f t="shared" si="9"/>
        <v>0</v>
      </c>
      <c r="M21" s="406">
        <f t="shared" si="9"/>
        <v>0</v>
      </c>
      <c r="N21" s="406">
        <f t="shared" si="9"/>
        <v>48711</v>
      </c>
      <c r="O21" s="414"/>
    </row>
    <row r="22" spans="1:15" ht="21" customHeight="1">
      <c r="A22" s="507" t="s">
        <v>144</v>
      </c>
      <c r="B22" s="429" t="s">
        <v>143</v>
      </c>
      <c r="C22" s="811">
        <f>SUM(C55+C79+C103+C127+C152+C176+C200+C224)</f>
        <v>294819</v>
      </c>
      <c r="D22" s="406">
        <f t="shared" si="8"/>
        <v>294819</v>
      </c>
      <c r="E22" s="820">
        <f t="shared" si="6"/>
        <v>0</v>
      </c>
      <c r="F22" s="406">
        <f t="shared" si="9"/>
        <v>0</v>
      </c>
      <c r="G22" s="406">
        <f t="shared" si="9"/>
        <v>0</v>
      </c>
      <c r="H22" s="406">
        <f t="shared" si="9"/>
        <v>0</v>
      </c>
      <c r="I22" s="406">
        <f t="shared" si="9"/>
        <v>0</v>
      </c>
      <c r="J22" s="406">
        <f t="shared" si="9"/>
        <v>0</v>
      </c>
      <c r="K22" s="406">
        <f t="shared" si="9"/>
        <v>0</v>
      </c>
      <c r="L22" s="406">
        <f t="shared" si="9"/>
        <v>0</v>
      </c>
      <c r="M22" s="406">
        <f t="shared" si="9"/>
        <v>0</v>
      </c>
      <c r="N22" s="406">
        <f t="shared" si="9"/>
        <v>0</v>
      </c>
      <c r="O22" s="414"/>
    </row>
    <row r="23" spans="1:15" ht="21" customHeight="1">
      <c r="A23" s="507" t="s">
        <v>146</v>
      </c>
      <c r="B23" s="429" t="s">
        <v>145</v>
      </c>
      <c r="C23" s="811">
        <f>SUM(D23,E23,H23:N23)</f>
        <v>139074</v>
      </c>
      <c r="D23" s="406">
        <f t="shared" si="8"/>
        <v>64100</v>
      </c>
      <c r="E23" s="816">
        <f t="shared" si="6"/>
        <v>0</v>
      </c>
      <c r="F23" s="406">
        <f t="shared" si="9"/>
        <v>0</v>
      </c>
      <c r="G23" s="406">
        <f t="shared" si="9"/>
        <v>0</v>
      </c>
      <c r="H23" s="406">
        <f t="shared" si="9"/>
        <v>0</v>
      </c>
      <c r="I23" s="406">
        <f t="shared" si="9"/>
        <v>74974</v>
      </c>
      <c r="J23" s="406">
        <f t="shared" si="9"/>
        <v>0</v>
      </c>
      <c r="K23" s="406">
        <f t="shared" si="9"/>
        <v>0</v>
      </c>
      <c r="L23" s="406">
        <f t="shared" si="9"/>
        <v>0</v>
      </c>
      <c r="M23" s="406">
        <f t="shared" si="9"/>
        <v>0</v>
      </c>
      <c r="N23" s="406">
        <f t="shared" si="9"/>
        <v>0</v>
      </c>
      <c r="O23" s="414"/>
    </row>
    <row r="24" spans="1:15" ht="25.5">
      <c r="A24" s="507" t="s">
        <v>148</v>
      </c>
      <c r="B24" s="431" t="s">
        <v>147</v>
      </c>
      <c r="C24" s="811">
        <f>SUM(D24,E24,H24:N24)</f>
        <v>0</v>
      </c>
      <c r="D24" s="406">
        <f t="shared" si="8"/>
        <v>0</v>
      </c>
      <c r="E24" s="808">
        <f>SUM(F24:G24)</f>
        <v>0</v>
      </c>
      <c r="F24" s="406">
        <f t="shared" si="9"/>
        <v>0</v>
      </c>
      <c r="G24" s="406">
        <f t="shared" si="9"/>
        <v>0</v>
      </c>
      <c r="H24" s="406">
        <f t="shared" si="9"/>
        <v>0</v>
      </c>
      <c r="I24" s="406">
        <f t="shared" si="9"/>
        <v>0</v>
      </c>
      <c r="J24" s="406">
        <f t="shared" si="9"/>
        <v>0</v>
      </c>
      <c r="K24" s="406">
        <f t="shared" si="9"/>
        <v>0</v>
      </c>
      <c r="L24" s="406">
        <f t="shared" si="9"/>
        <v>0</v>
      </c>
      <c r="M24" s="406">
        <f t="shared" si="9"/>
        <v>0</v>
      </c>
      <c r="N24" s="406">
        <f t="shared" si="9"/>
        <v>0</v>
      </c>
      <c r="O24" s="414"/>
    </row>
    <row r="25" spans="1:15" ht="21" customHeight="1">
      <c r="A25" s="507" t="s">
        <v>185</v>
      </c>
      <c r="B25" s="429" t="s">
        <v>149</v>
      </c>
      <c r="C25" s="811">
        <f>SUM(D25,E25,H25:N25)</f>
        <v>10381</v>
      </c>
      <c r="D25" s="406">
        <f t="shared" si="8"/>
        <v>1680</v>
      </c>
      <c r="E25" s="818">
        <f>E58+E82+E106+E130+E155+E179+E203+E227</f>
        <v>7795</v>
      </c>
      <c r="F25" s="406">
        <f t="shared" si="9"/>
        <v>0</v>
      </c>
      <c r="G25" s="406">
        <f t="shared" si="9"/>
        <v>7795</v>
      </c>
      <c r="H25" s="406">
        <f t="shared" si="9"/>
        <v>0</v>
      </c>
      <c r="I25" s="406">
        <f t="shared" si="9"/>
        <v>756</v>
      </c>
      <c r="J25" s="406">
        <f t="shared" si="9"/>
        <v>0</v>
      </c>
      <c r="K25" s="406">
        <f t="shared" si="9"/>
        <v>0</v>
      </c>
      <c r="L25" s="406">
        <f t="shared" si="9"/>
        <v>0</v>
      </c>
      <c r="M25" s="406">
        <f t="shared" si="9"/>
        <v>0</v>
      </c>
      <c r="N25" s="406">
        <f t="shared" si="9"/>
        <v>150</v>
      </c>
      <c r="O25" s="414"/>
    </row>
    <row r="26" spans="1:15" ht="21" customHeight="1">
      <c r="A26" s="508" t="s">
        <v>52</v>
      </c>
      <c r="B26" s="394" t="s">
        <v>150</v>
      </c>
      <c r="C26" s="806">
        <f>C16-C17</f>
        <v>7481853</v>
      </c>
      <c r="D26" s="806">
        <f>D16-D17</f>
        <v>877554</v>
      </c>
      <c r="E26" s="806">
        <f>E16-E17</f>
        <v>6505163</v>
      </c>
      <c r="F26" s="806">
        <f>F16-F17</f>
        <v>1211308</v>
      </c>
      <c r="G26" s="806">
        <f>G16-G17</f>
        <v>5293855</v>
      </c>
      <c r="H26" s="806">
        <f aca="true" t="shared" si="10" ref="H26:N26">H16-H17</f>
        <v>0</v>
      </c>
      <c r="I26" s="806">
        <f t="shared" si="10"/>
        <v>47554</v>
      </c>
      <c r="J26" s="806">
        <f t="shared" si="10"/>
        <v>49658</v>
      </c>
      <c r="K26" s="806">
        <f t="shared" si="10"/>
        <v>1724</v>
      </c>
      <c r="L26" s="806">
        <f t="shared" si="10"/>
        <v>0</v>
      </c>
      <c r="M26" s="806">
        <f t="shared" si="10"/>
        <v>0</v>
      </c>
      <c r="N26" s="806">
        <f t="shared" si="10"/>
        <v>200</v>
      </c>
      <c r="O26" s="453"/>
    </row>
    <row r="27" spans="1:15" ht="30.75" customHeight="1">
      <c r="A27" s="534" t="s">
        <v>540</v>
      </c>
      <c r="B27" s="463" t="s">
        <v>202</v>
      </c>
      <c r="C27" s="532">
        <f>(C18+C19+C20)/C17</f>
        <v>0.6228507037297494</v>
      </c>
      <c r="D27" s="533">
        <f aca="true" t="shared" si="11" ref="D27:N27">(D18+D19+D20)/D17</f>
        <v>0.36332334874624356</v>
      </c>
      <c r="E27" s="532">
        <f t="shared" si="11"/>
        <v>0.7940867640324263</v>
      </c>
      <c r="F27" s="533">
        <f t="shared" si="11"/>
        <v>0.879428248238984</v>
      </c>
      <c r="G27" s="533">
        <f t="shared" si="11"/>
        <v>0.786438183112045</v>
      </c>
      <c r="H27" s="533" t="e">
        <f t="shared" si="11"/>
        <v>#DIV/0!</v>
      </c>
      <c r="I27" s="533">
        <f t="shared" si="11"/>
        <v>0.46360402539740664</v>
      </c>
      <c r="J27" s="533">
        <f t="shared" si="11"/>
        <v>0.12492246115673185</v>
      </c>
      <c r="K27" s="533" t="e">
        <f t="shared" si="11"/>
        <v>#DIV/0!</v>
      </c>
      <c r="L27" s="533" t="e">
        <f t="shared" si="11"/>
        <v>#DIV/0!</v>
      </c>
      <c r="M27" s="533" t="e">
        <f t="shared" si="11"/>
        <v>#DIV/0!</v>
      </c>
      <c r="N27" s="533">
        <f t="shared" si="11"/>
        <v>0.9138316276953519</v>
      </c>
      <c r="O27" s="414"/>
    </row>
    <row r="28" spans="1:15" ht="30.75" customHeight="1">
      <c r="A28" s="1158"/>
      <c r="B28" s="1159"/>
      <c r="C28" s="1160"/>
      <c r="D28" s="1161"/>
      <c r="E28" s="1160"/>
      <c r="F28" s="1161"/>
      <c r="G28" s="1161"/>
      <c r="H28" s="1161"/>
      <c r="I28" s="1161"/>
      <c r="J28" s="1161"/>
      <c r="K28" s="1161"/>
      <c r="L28" s="1161"/>
      <c r="M28" s="1161"/>
      <c r="N28" s="1161"/>
      <c r="O28" s="414"/>
    </row>
    <row r="29" spans="1:15" ht="18.75" customHeight="1">
      <c r="A29" s="1158"/>
      <c r="B29" s="1159"/>
      <c r="C29" s="1160"/>
      <c r="D29" s="1161"/>
      <c r="E29" s="1160"/>
      <c r="F29" s="1161"/>
      <c r="G29" s="1161"/>
      <c r="H29" s="1161"/>
      <c r="I29" s="1161"/>
      <c r="J29" s="1161"/>
      <c r="K29" s="1161"/>
      <c r="L29" s="1161"/>
      <c r="M29" s="1161"/>
      <c r="N29" s="1161"/>
      <c r="O29" s="414"/>
    </row>
    <row r="30" spans="1:15" ht="12" customHeight="1">
      <c r="A30" s="1158"/>
      <c r="B30" s="1159"/>
      <c r="C30" s="1160"/>
      <c r="D30" s="1161"/>
      <c r="E30" s="1160"/>
      <c r="F30" s="1161"/>
      <c r="G30" s="1161"/>
      <c r="H30" s="1161"/>
      <c r="I30" s="1161"/>
      <c r="J30" s="1161"/>
      <c r="K30" s="1161"/>
      <c r="L30" s="1161"/>
      <c r="M30" s="1161"/>
      <c r="N30" s="1161"/>
      <c r="O30" s="414"/>
    </row>
    <row r="31" spans="1:15" ht="18.75" customHeight="1" hidden="1">
      <c r="A31" s="1158"/>
      <c r="B31" s="1159"/>
      <c r="C31" s="1160"/>
      <c r="D31" s="1161"/>
      <c r="E31" s="1160"/>
      <c r="F31" s="1161"/>
      <c r="G31" s="1161"/>
      <c r="H31" s="1161"/>
      <c r="I31" s="1161"/>
      <c r="J31" s="1161"/>
      <c r="K31" s="1161"/>
      <c r="L31" s="1161"/>
      <c r="M31" s="1161"/>
      <c r="N31" s="1161"/>
      <c r="O31" s="414"/>
    </row>
    <row r="32" spans="1:15" ht="18.75" customHeight="1" hidden="1">
      <c r="A32" s="1158"/>
      <c r="B32" s="1159"/>
      <c r="C32" s="1160"/>
      <c r="D32" s="1161"/>
      <c r="E32" s="1160"/>
      <c r="F32" s="1161"/>
      <c r="G32" s="1161"/>
      <c r="H32" s="1161"/>
      <c r="I32" s="1161"/>
      <c r="J32" s="1161"/>
      <c r="K32" s="1161"/>
      <c r="L32" s="1161"/>
      <c r="M32" s="1161"/>
      <c r="N32" s="1161"/>
      <c r="O32" s="414"/>
    </row>
    <row r="33" spans="1:15" ht="18.75" customHeight="1" hidden="1">
      <c r="A33" s="1158"/>
      <c r="B33" s="1159"/>
      <c r="C33" s="1160"/>
      <c r="D33" s="1161"/>
      <c r="E33" s="1160"/>
      <c r="F33" s="1161"/>
      <c r="G33" s="1161"/>
      <c r="H33" s="1161"/>
      <c r="I33" s="1161"/>
      <c r="J33" s="1161"/>
      <c r="K33" s="1161"/>
      <c r="L33" s="1161"/>
      <c r="M33" s="1161"/>
      <c r="N33" s="1161"/>
      <c r="O33" s="414"/>
    </row>
    <row r="34" spans="1:15" ht="18" customHeight="1" hidden="1">
      <c r="A34" s="1158"/>
      <c r="B34" s="1159"/>
      <c r="C34" s="1160"/>
      <c r="D34" s="1161"/>
      <c r="E34" s="1160"/>
      <c r="F34" s="1161"/>
      <c r="G34" s="1161"/>
      <c r="H34" s="1161"/>
      <c r="I34" s="1161"/>
      <c r="J34" s="1161"/>
      <c r="K34" s="1161"/>
      <c r="L34" s="1161"/>
      <c r="M34" s="1161"/>
      <c r="N34" s="1161"/>
      <c r="O34" s="414"/>
    </row>
    <row r="35" spans="1:15" ht="12.75" customHeight="1" hidden="1">
      <c r="A35" s="1158"/>
      <c r="B35" s="1159"/>
      <c r="C35" s="1160"/>
      <c r="D35" s="1161"/>
      <c r="E35" s="1160"/>
      <c r="F35" s="1161"/>
      <c r="G35" s="1161"/>
      <c r="H35" s="1161"/>
      <c r="I35" s="1161"/>
      <c r="J35" s="1161"/>
      <c r="K35" s="1161"/>
      <c r="L35" s="1161"/>
      <c r="M35" s="1161"/>
      <c r="N35" s="1161"/>
      <c r="O35" s="414"/>
    </row>
    <row r="36" ht="15" hidden="1"/>
    <row r="37" ht="15" hidden="1">
      <c r="B37" s="904" t="s">
        <v>748</v>
      </c>
    </row>
    <row r="38" ht="15" hidden="1"/>
    <row r="39" spans="1:14" ht="15" hidden="1">
      <c r="A39" s="1478" t="s">
        <v>68</v>
      </c>
      <c r="B39" s="1479"/>
      <c r="C39" s="1501" t="s">
        <v>37</v>
      </c>
      <c r="D39" s="1487" t="s">
        <v>336</v>
      </c>
      <c r="E39" s="1488"/>
      <c r="F39" s="1488"/>
      <c r="G39" s="1488"/>
      <c r="H39" s="1488"/>
      <c r="I39" s="1488"/>
      <c r="J39" s="1488"/>
      <c r="K39" s="1488"/>
      <c r="L39" s="1488"/>
      <c r="M39" s="1488"/>
      <c r="N39" s="1489"/>
    </row>
    <row r="40" spans="1:14" ht="15" hidden="1">
      <c r="A40" s="1480"/>
      <c r="B40" s="1481"/>
      <c r="C40" s="1501"/>
      <c r="D40" s="1474" t="s">
        <v>195</v>
      </c>
      <c r="E40" s="1498" t="s">
        <v>196</v>
      </c>
      <c r="F40" s="1499"/>
      <c r="G40" s="1500"/>
      <c r="H40" s="1474" t="s">
        <v>197</v>
      </c>
      <c r="I40" s="1474" t="s">
        <v>122</v>
      </c>
      <c r="J40" s="1474" t="s">
        <v>198</v>
      </c>
      <c r="K40" s="1474" t="s">
        <v>124</v>
      </c>
      <c r="L40" s="1474" t="s">
        <v>125</v>
      </c>
      <c r="M40" s="1474" t="s">
        <v>126</v>
      </c>
      <c r="N40" s="1516" t="s">
        <v>127</v>
      </c>
    </row>
    <row r="41" spans="1:14" ht="15" hidden="1">
      <c r="A41" s="1480"/>
      <c r="B41" s="1481"/>
      <c r="C41" s="1501"/>
      <c r="D41" s="1474"/>
      <c r="E41" s="1473" t="s">
        <v>36</v>
      </c>
      <c r="F41" s="1476" t="s">
        <v>7</v>
      </c>
      <c r="G41" s="1477"/>
      <c r="H41" s="1474"/>
      <c r="I41" s="1474"/>
      <c r="J41" s="1474"/>
      <c r="K41" s="1474"/>
      <c r="L41" s="1474"/>
      <c r="M41" s="1474"/>
      <c r="N41" s="1516"/>
    </row>
    <row r="42" spans="1:14" ht="15" hidden="1">
      <c r="A42" s="1482"/>
      <c r="B42" s="1483"/>
      <c r="C42" s="1501"/>
      <c r="D42" s="1475"/>
      <c r="E42" s="1475"/>
      <c r="F42" s="559" t="s">
        <v>199</v>
      </c>
      <c r="G42" s="560" t="s">
        <v>200</v>
      </c>
      <c r="H42" s="1475"/>
      <c r="I42" s="1475"/>
      <c r="J42" s="1475"/>
      <c r="K42" s="1475"/>
      <c r="L42" s="1475"/>
      <c r="M42" s="1475"/>
      <c r="N42" s="1516"/>
    </row>
    <row r="43" spans="1:14" ht="15.75" hidden="1">
      <c r="A43" s="1528" t="s">
        <v>39</v>
      </c>
      <c r="B43" s="1529"/>
      <c r="C43" s="460">
        <v>1</v>
      </c>
      <c r="D43" s="460">
        <v>2</v>
      </c>
      <c r="E43" s="460">
        <v>3</v>
      </c>
      <c r="F43" s="460">
        <v>4</v>
      </c>
      <c r="G43" s="460">
        <v>5</v>
      </c>
      <c r="H43" s="460">
        <v>6</v>
      </c>
      <c r="I43" s="460">
        <v>7</v>
      </c>
      <c r="J43" s="460">
        <v>8</v>
      </c>
      <c r="K43" s="460">
        <v>9</v>
      </c>
      <c r="L43" s="460">
        <v>10</v>
      </c>
      <c r="M43" s="460">
        <v>11</v>
      </c>
      <c r="N43" s="460">
        <v>12</v>
      </c>
    </row>
    <row r="44" spans="1:14" ht="15" hidden="1">
      <c r="A44" s="506" t="s">
        <v>0</v>
      </c>
      <c r="B44" s="427" t="s">
        <v>130</v>
      </c>
      <c r="C44" s="806">
        <f aca="true" t="shared" si="12" ref="C44:C49">SUM(D44,E44,H44:N44)</f>
        <v>2593957</v>
      </c>
      <c r="D44" s="814">
        <f>SUM(D45:D46)</f>
        <v>11485</v>
      </c>
      <c r="E44" s="814">
        <f aca="true" t="shared" si="13" ref="E44:J44">SUM(E45:E46)</f>
        <v>2453648</v>
      </c>
      <c r="F44" s="814">
        <f t="shared" si="13"/>
        <v>274101</v>
      </c>
      <c r="G44" s="814">
        <f t="shared" si="13"/>
        <v>2179547</v>
      </c>
      <c r="H44" s="814">
        <f t="shared" si="13"/>
        <v>0</v>
      </c>
      <c r="I44" s="814">
        <f t="shared" si="13"/>
        <v>0</v>
      </c>
      <c r="J44" s="814">
        <f t="shared" si="13"/>
        <v>37395</v>
      </c>
      <c r="K44" s="814">
        <f>SUM(K45:K46)</f>
        <v>0</v>
      </c>
      <c r="L44" s="814">
        <f>SUM(L45:L46)</f>
        <v>0</v>
      </c>
      <c r="M44" s="814">
        <f>SUM(M45:M46)</f>
        <v>0</v>
      </c>
      <c r="N44" s="814">
        <f>SUM(N45:N46)</f>
        <v>91429</v>
      </c>
    </row>
    <row r="45" spans="1:14" ht="15" hidden="1">
      <c r="A45" s="507">
        <v>1</v>
      </c>
      <c r="B45" s="429" t="s">
        <v>131</v>
      </c>
      <c r="C45" s="811">
        <f t="shared" si="12"/>
        <v>1915744</v>
      </c>
      <c r="D45" s="406">
        <v>11485</v>
      </c>
      <c r="E45" s="816">
        <f>SUM(F45:G45)</f>
        <v>1866864</v>
      </c>
      <c r="F45" s="406">
        <v>266292</v>
      </c>
      <c r="G45" s="406">
        <v>1600572</v>
      </c>
      <c r="H45" s="406">
        <v>0</v>
      </c>
      <c r="I45" s="406">
        <v>0</v>
      </c>
      <c r="J45" s="406">
        <v>37395</v>
      </c>
      <c r="K45" s="406">
        <v>0</v>
      </c>
      <c r="L45" s="406">
        <v>0</v>
      </c>
      <c r="M45" s="406">
        <v>0</v>
      </c>
      <c r="N45" s="406">
        <v>0</v>
      </c>
    </row>
    <row r="46" spans="1:14" ht="15.75" hidden="1">
      <c r="A46" s="507">
        <v>2</v>
      </c>
      <c r="B46" s="429" t="s">
        <v>132</v>
      </c>
      <c r="C46" s="811">
        <f t="shared" si="12"/>
        <v>678213</v>
      </c>
      <c r="D46" s="818"/>
      <c r="E46" s="816">
        <f>SUM(F46:G46)</f>
        <v>586784</v>
      </c>
      <c r="F46" s="406">
        <v>7809</v>
      </c>
      <c r="G46" s="406">
        <v>578975</v>
      </c>
      <c r="H46" s="406">
        <v>0</v>
      </c>
      <c r="I46" s="406">
        <v>0</v>
      </c>
      <c r="J46" s="406">
        <v>0</v>
      </c>
      <c r="K46" s="406">
        <v>0</v>
      </c>
      <c r="L46" s="406">
        <v>0</v>
      </c>
      <c r="M46" s="406">
        <v>0</v>
      </c>
      <c r="N46" s="406">
        <v>91429</v>
      </c>
    </row>
    <row r="47" spans="1:14" ht="15.75" hidden="1">
      <c r="A47" s="508" t="s">
        <v>1</v>
      </c>
      <c r="B47" s="394" t="s">
        <v>133</v>
      </c>
      <c r="C47" s="811">
        <f t="shared" si="12"/>
        <v>80551</v>
      </c>
      <c r="D47" s="818"/>
      <c r="E47" s="816">
        <f>SUM(F47:G47)</f>
        <v>80551</v>
      </c>
      <c r="F47" s="406">
        <v>0</v>
      </c>
      <c r="G47" s="406">
        <v>80551</v>
      </c>
      <c r="H47" s="406">
        <v>0</v>
      </c>
      <c r="I47" s="406">
        <v>0</v>
      </c>
      <c r="J47" s="406">
        <v>0</v>
      </c>
      <c r="K47" s="406">
        <v>0</v>
      </c>
      <c r="L47" s="406">
        <v>0</v>
      </c>
      <c r="M47" s="406">
        <v>0</v>
      </c>
      <c r="N47" s="406">
        <v>0</v>
      </c>
    </row>
    <row r="48" spans="1:14" ht="15.75" hidden="1">
      <c r="A48" s="508" t="s">
        <v>9</v>
      </c>
      <c r="B48" s="394" t="s">
        <v>134</v>
      </c>
      <c r="C48" s="811">
        <f t="shared" si="12"/>
        <v>0</v>
      </c>
      <c r="D48" s="818"/>
      <c r="E48" s="816">
        <f>SUM(F48:G48)</f>
        <v>0</v>
      </c>
      <c r="F48" s="906"/>
      <c r="G48" s="906"/>
      <c r="H48" s="906"/>
      <c r="I48" s="906"/>
      <c r="J48" s="906"/>
      <c r="K48" s="906"/>
      <c r="L48" s="906"/>
      <c r="M48" s="906"/>
      <c r="N48" s="906"/>
    </row>
    <row r="49" spans="1:14" ht="15" hidden="1">
      <c r="A49" s="508" t="s">
        <v>135</v>
      </c>
      <c r="B49" s="394" t="s">
        <v>136</v>
      </c>
      <c r="C49" s="806">
        <f t="shared" si="12"/>
        <v>2513406</v>
      </c>
      <c r="D49" s="807">
        <f>D44-SUM(D47,D48)</f>
        <v>11485</v>
      </c>
      <c r="E49" s="807">
        <f aca="true" t="shared" si="14" ref="E49:N49">E44-SUM(E47,E48)</f>
        <v>2373097</v>
      </c>
      <c r="F49" s="807">
        <f t="shared" si="14"/>
        <v>274101</v>
      </c>
      <c r="G49" s="807">
        <f t="shared" si="14"/>
        <v>2098996</v>
      </c>
      <c r="H49" s="807">
        <f t="shared" si="14"/>
        <v>0</v>
      </c>
      <c r="I49" s="807">
        <f t="shared" si="14"/>
        <v>0</v>
      </c>
      <c r="J49" s="807">
        <f t="shared" si="14"/>
        <v>37395</v>
      </c>
      <c r="K49" s="807">
        <f t="shared" si="14"/>
        <v>0</v>
      </c>
      <c r="L49" s="807">
        <f t="shared" si="14"/>
        <v>0</v>
      </c>
      <c r="M49" s="807">
        <f t="shared" si="14"/>
        <v>0</v>
      </c>
      <c r="N49" s="807">
        <f t="shared" si="14"/>
        <v>91429</v>
      </c>
    </row>
    <row r="50" spans="1:14" ht="15" hidden="1">
      <c r="A50" s="508" t="s">
        <v>51</v>
      </c>
      <c r="B50" s="430" t="s">
        <v>137</v>
      </c>
      <c r="C50" s="815">
        <f>SUM(C51:C58)</f>
        <v>526793</v>
      </c>
      <c r="D50" s="815">
        <f>SUM(D51:D58)</f>
        <v>11485</v>
      </c>
      <c r="E50" s="815">
        <f>SUM(E51:E58)</f>
        <v>423879</v>
      </c>
      <c r="F50" s="815">
        <f aca="true" t="shared" si="15" ref="F50:N50">SUM(F51:F58)</f>
        <v>4453</v>
      </c>
      <c r="G50" s="815">
        <f t="shared" si="15"/>
        <v>419426</v>
      </c>
      <c r="H50" s="815">
        <f t="shared" si="15"/>
        <v>0</v>
      </c>
      <c r="I50" s="815">
        <f t="shared" si="15"/>
        <v>0</v>
      </c>
      <c r="J50" s="815">
        <f t="shared" si="15"/>
        <v>0</v>
      </c>
      <c r="K50" s="815">
        <f t="shared" si="15"/>
        <v>0</v>
      </c>
      <c r="L50" s="815">
        <f t="shared" si="15"/>
        <v>0</v>
      </c>
      <c r="M50" s="815">
        <f t="shared" si="15"/>
        <v>0</v>
      </c>
      <c r="N50" s="815">
        <f t="shared" si="15"/>
        <v>91429</v>
      </c>
    </row>
    <row r="51" spans="1:14" ht="15" hidden="1">
      <c r="A51" s="507" t="s">
        <v>53</v>
      </c>
      <c r="B51" s="429" t="s">
        <v>138</v>
      </c>
      <c r="C51" s="811">
        <f>SUM(D51,E51,H51:N51)</f>
        <v>396655</v>
      </c>
      <c r="D51" s="406">
        <v>11485</v>
      </c>
      <c r="E51" s="816">
        <f aca="true" t="shared" si="16" ref="E51:E56">SUM(F51:G51)</f>
        <v>295400</v>
      </c>
      <c r="F51" s="406">
        <v>1335</v>
      </c>
      <c r="G51" s="406">
        <v>294065</v>
      </c>
      <c r="H51" s="406">
        <v>0</v>
      </c>
      <c r="I51" s="406">
        <v>0</v>
      </c>
      <c r="J51" s="406">
        <v>0</v>
      </c>
      <c r="K51" s="406">
        <v>0</v>
      </c>
      <c r="L51" s="406">
        <v>0</v>
      </c>
      <c r="M51" s="406">
        <v>0</v>
      </c>
      <c r="N51" s="406">
        <v>89770</v>
      </c>
    </row>
    <row r="52" spans="1:14" ht="15" hidden="1">
      <c r="A52" s="507" t="s">
        <v>54</v>
      </c>
      <c r="B52" s="429" t="s">
        <v>139</v>
      </c>
      <c r="C52" s="811">
        <f>SUM(D52,E52,H52:N52)</f>
        <v>0</v>
      </c>
      <c r="D52" s="406">
        <v>0</v>
      </c>
      <c r="E52" s="816">
        <f t="shared" si="16"/>
        <v>0</v>
      </c>
      <c r="F52" s="406">
        <v>0</v>
      </c>
      <c r="G52" s="406">
        <v>0</v>
      </c>
      <c r="H52" s="406">
        <v>0</v>
      </c>
      <c r="I52" s="406">
        <v>0</v>
      </c>
      <c r="J52" s="406">
        <v>0</v>
      </c>
      <c r="K52" s="406">
        <v>0</v>
      </c>
      <c r="L52" s="406">
        <v>0</v>
      </c>
      <c r="M52" s="406">
        <v>0</v>
      </c>
      <c r="N52" s="406">
        <v>0</v>
      </c>
    </row>
    <row r="53" spans="1:14" ht="15" hidden="1">
      <c r="A53" s="507" t="s">
        <v>140</v>
      </c>
      <c r="B53" s="429" t="s">
        <v>201</v>
      </c>
      <c r="C53" s="811">
        <f>SUM(D53,E53,H53:N53)</f>
        <v>5714</v>
      </c>
      <c r="D53" s="406">
        <v>0</v>
      </c>
      <c r="E53" s="816">
        <f t="shared" si="16"/>
        <v>5714</v>
      </c>
      <c r="F53" s="406">
        <v>3118</v>
      </c>
      <c r="G53" s="406">
        <v>2596</v>
      </c>
      <c r="H53" s="406">
        <v>0</v>
      </c>
      <c r="I53" s="406">
        <v>0</v>
      </c>
      <c r="J53" s="406">
        <v>0</v>
      </c>
      <c r="K53" s="406">
        <v>0</v>
      </c>
      <c r="L53" s="406">
        <v>0</v>
      </c>
      <c r="M53" s="406">
        <v>0</v>
      </c>
      <c r="N53" s="406">
        <v>0</v>
      </c>
    </row>
    <row r="54" spans="1:14" ht="15" hidden="1">
      <c r="A54" s="507" t="s">
        <v>142</v>
      </c>
      <c r="B54" s="429" t="s">
        <v>141</v>
      </c>
      <c r="C54" s="811">
        <f>D54+E54+H54+I54+J54+K54+L54+M54+N54</f>
        <v>124424</v>
      </c>
      <c r="D54" s="406"/>
      <c r="E54" s="816">
        <f t="shared" si="16"/>
        <v>122765</v>
      </c>
      <c r="F54" s="406">
        <v>0</v>
      </c>
      <c r="G54" s="406">
        <v>122765</v>
      </c>
      <c r="H54" s="406">
        <v>0</v>
      </c>
      <c r="I54" s="406">
        <v>0</v>
      </c>
      <c r="J54" s="406">
        <v>0</v>
      </c>
      <c r="K54" s="406">
        <v>0</v>
      </c>
      <c r="L54" s="406">
        <v>0</v>
      </c>
      <c r="M54" s="406">
        <v>0</v>
      </c>
      <c r="N54" s="406">
        <v>1659</v>
      </c>
    </row>
    <row r="55" spans="1:14" ht="15" hidden="1">
      <c r="A55" s="507" t="s">
        <v>144</v>
      </c>
      <c r="B55" s="429" t="s">
        <v>143</v>
      </c>
      <c r="C55" s="812">
        <f>SUM(D55,E55,H55:N55)</f>
        <v>0</v>
      </c>
      <c r="D55" s="406">
        <v>0</v>
      </c>
      <c r="E55" s="820">
        <f t="shared" si="16"/>
        <v>0</v>
      </c>
      <c r="F55" s="406">
        <v>0</v>
      </c>
      <c r="G55" s="406">
        <v>0</v>
      </c>
      <c r="H55" s="406">
        <v>0</v>
      </c>
      <c r="I55" s="406">
        <v>0</v>
      </c>
      <c r="J55" s="406">
        <v>0</v>
      </c>
      <c r="K55" s="406">
        <v>0</v>
      </c>
      <c r="L55" s="406">
        <v>0</v>
      </c>
      <c r="M55" s="406">
        <v>0</v>
      </c>
      <c r="N55" s="406">
        <v>0</v>
      </c>
    </row>
    <row r="56" spans="1:14" ht="15.75" hidden="1">
      <c r="A56" s="507" t="s">
        <v>146</v>
      </c>
      <c r="B56" s="429" t="s">
        <v>145</v>
      </c>
      <c r="C56" s="811">
        <f>SUM(D56,E56,H56:N56)</f>
        <v>0</v>
      </c>
      <c r="D56" s="818"/>
      <c r="E56" s="816">
        <f t="shared" si="16"/>
        <v>0</v>
      </c>
      <c r="F56" s="906"/>
      <c r="G56" s="906"/>
      <c r="H56" s="906"/>
      <c r="I56" s="906"/>
      <c r="J56" s="906"/>
      <c r="K56" s="906"/>
      <c r="L56" s="906"/>
      <c r="M56" s="906"/>
      <c r="N56" s="906"/>
    </row>
    <row r="57" spans="1:14" ht="25.5" hidden="1">
      <c r="A57" s="507" t="s">
        <v>148</v>
      </c>
      <c r="B57" s="431" t="s">
        <v>147</v>
      </c>
      <c r="C57" s="811">
        <f>SUM(D57,E57,H57:N57)</f>
        <v>0</v>
      </c>
      <c r="D57" s="818"/>
      <c r="E57" s="816">
        <f>SUM(F57:G57)</f>
        <v>0</v>
      </c>
      <c r="F57" s="906"/>
      <c r="G57" s="906"/>
      <c r="H57" s="906"/>
      <c r="I57" s="906"/>
      <c r="J57" s="906"/>
      <c r="K57" s="906"/>
      <c r="L57" s="906"/>
      <c r="M57" s="906"/>
      <c r="N57" s="906"/>
    </row>
    <row r="58" spans="1:14" ht="15.75" hidden="1">
      <c r="A58" s="507" t="s">
        <v>185</v>
      </c>
      <c r="B58" s="429" t="s">
        <v>149</v>
      </c>
      <c r="C58" s="811">
        <f>SUM(D58,E58,H58:N58)</f>
        <v>0</v>
      </c>
      <c r="D58" s="818">
        <v>0</v>
      </c>
      <c r="E58" s="816">
        <f>SUM(F58:G58)</f>
        <v>0</v>
      </c>
      <c r="F58" s="906"/>
      <c r="G58" s="906"/>
      <c r="H58" s="906"/>
      <c r="I58" s="906"/>
      <c r="J58" s="906"/>
      <c r="K58" s="906"/>
      <c r="L58" s="906"/>
      <c r="M58" s="906"/>
      <c r="N58" s="906"/>
    </row>
    <row r="59" spans="1:14" ht="15" hidden="1">
      <c r="A59" s="508" t="s">
        <v>52</v>
      </c>
      <c r="B59" s="394" t="s">
        <v>150</v>
      </c>
      <c r="C59" s="806">
        <f>C49-C50</f>
        <v>1986613</v>
      </c>
      <c r="D59" s="806">
        <f>D49-D50</f>
        <v>0</v>
      </c>
      <c r="E59" s="806">
        <f>E49-E50</f>
        <v>1949218</v>
      </c>
      <c r="F59" s="806">
        <f>F49-F50</f>
        <v>269648</v>
      </c>
      <c r="G59" s="806">
        <f>G49-G50</f>
        <v>1679570</v>
      </c>
      <c r="H59" s="806">
        <f aca="true" t="shared" si="17" ref="H59:N59">H49-H50</f>
        <v>0</v>
      </c>
      <c r="I59" s="806">
        <f t="shared" si="17"/>
        <v>0</v>
      </c>
      <c r="J59" s="806">
        <f t="shared" si="17"/>
        <v>37395</v>
      </c>
      <c r="K59" s="806">
        <f t="shared" si="17"/>
        <v>0</v>
      </c>
      <c r="L59" s="806">
        <f t="shared" si="17"/>
        <v>0</v>
      </c>
      <c r="M59" s="806">
        <f t="shared" si="17"/>
        <v>0</v>
      </c>
      <c r="N59" s="806">
        <f t="shared" si="17"/>
        <v>0</v>
      </c>
    </row>
    <row r="60" spans="1:14" ht="24" hidden="1">
      <c r="A60" s="534" t="s">
        <v>540</v>
      </c>
      <c r="B60" s="463" t="s">
        <v>202</v>
      </c>
      <c r="C60" s="532">
        <f>(C51+C52+C53)/C50</f>
        <v>0.763808554783378</v>
      </c>
      <c r="D60" s="533">
        <f aca="true" t="shared" si="18" ref="D60:N60">(D51+D52+D53)/D50</f>
        <v>1</v>
      </c>
      <c r="E60" s="532">
        <f t="shared" si="18"/>
        <v>0.7103772538861326</v>
      </c>
      <c r="F60" s="533">
        <f t="shared" si="18"/>
        <v>1</v>
      </c>
      <c r="G60" s="533">
        <f t="shared" si="18"/>
        <v>0.7073023608455365</v>
      </c>
      <c r="H60" s="533" t="e">
        <f t="shared" si="18"/>
        <v>#DIV/0!</v>
      </c>
      <c r="I60" s="533" t="e">
        <f t="shared" si="18"/>
        <v>#DIV/0!</v>
      </c>
      <c r="J60" s="533" t="e">
        <f t="shared" si="18"/>
        <v>#DIV/0!</v>
      </c>
      <c r="K60" s="533" t="e">
        <f t="shared" si="18"/>
        <v>#DIV/0!</v>
      </c>
      <c r="L60" s="533" t="e">
        <f t="shared" si="18"/>
        <v>#DIV/0!</v>
      </c>
      <c r="M60" s="533" t="e">
        <f t="shared" si="18"/>
        <v>#DIV/0!</v>
      </c>
      <c r="N60" s="533">
        <f t="shared" si="18"/>
        <v>0.9818547725557536</v>
      </c>
    </row>
    <row r="61" ht="15" hidden="1"/>
    <row r="62" ht="15" hidden="1">
      <c r="B62" s="1020" t="s">
        <v>749</v>
      </c>
    </row>
    <row r="63" spans="1:14" ht="15" hidden="1">
      <c r="A63" s="1478" t="s">
        <v>68</v>
      </c>
      <c r="B63" s="1479"/>
      <c r="C63" s="1501" t="s">
        <v>37</v>
      </c>
      <c r="D63" s="1487" t="s">
        <v>336</v>
      </c>
      <c r="E63" s="1488"/>
      <c r="F63" s="1488"/>
      <c r="G63" s="1488"/>
      <c r="H63" s="1488"/>
      <c r="I63" s="1488"/>
      <c r="J63" s="1488"/>
      <c r="K63" s="1488"/>
      <c r="L63" s="1488"/>
      <c r="M63" s="1488"/>
      <c r="N63" s="1489"/>
    </row>
    <row r="64" spans="1:14" ht="15" hidden="1">
      <c r="A64" s="1480"/>
      <c r="B64" s="1481"/>
      <c r="C64" s="1501"/>
      <c r="D64" s="1474" t="s">
        <v>195</v>
      </c>
      <c r="E64" s="1498" t="s">
        <v>196</v>
      </c>
      <c r="F64" s="1499"/>
      <c r="G64" s="1500"/>
      <c r="H64" s="1474" t="s">
        <v>197</v>
      </c>
      <c r="I64" s="1474" t="s">
        <v>122</v>
      </c>
      <c r="J64" s="1474" t="s">
        <v>198</v>
      </c>
      <c r="K64" s="1474" t="s">
        <v>124</v>
      </c>
      <c r="L64" s="1474" t="s">
        <v>125</v>
      </c>
      <c r="M64" s="1474" t="s">
        <v>126</v>
      </c>
      <c r="N64" s="1516" t="s">
        <v>127</v>
      </c>
    </row>
    <row r="65" spans="1:14" ht="15" hidden="1">
      <c r="A65" s="1480"/>
      <c r="B65" s="1481"/>
      <c r="C65" s="1501"/>
      <c r="D65" s="1474"/>
      <c r="E65" s="1473" t="s">
        <v>36</v>
      </c>
      <c r="F65" s="1476" t="s">
        <v>7</v>
      </c>
      <c r="G65" s="1477"/>
      <c r="H65" s="1474"/>
      <c r="I65" s="1474"/>
      <c r="J65" s="1474"/>
      <c r="K65" s="1474"/>
      <c r="L65" s="1474"/>
      <c r="M65" s="1474"/>
      <c r="N65" s="1516"/>
    </row>
    <row r="66" spans="1:14" ht="15" hidden="1">
      <c r="A66" s="1482"/>
      <c r="B66" s="1483"/>
      <c r="C66" s="1501"/>
      <c r="D66" s="1475"/>
      <c r="E66" s="1475"/>
      <c r="F66" s="559" t="s">
        <v>199</v>
      </c>
      <c r="G66" s="560" t="s">
        <v>200</v>
      </c>
      <c r="H66" s="1475"/>
      <c r="I66" s="1475"/>
      <c r="J66" s="1475"/>
      <c r="K66" s="1475"/>
      <c r="L66" s="1475"/>
      <c r="M66" s="1475"/>
      <c r="N66" s="1516"/>
    </row>
    <row r="67" spans="1:14" ht="15.75" hidden="1">
      <c r="A67" s="1528" t="s">
        <v>39</v>
      </c>
      <c r="B67" s="1529"/>
      <c r="C67" s="460">
        <v>1</v>
      </c>
      <c r="D67" s="460">
        <v>2</v>
      </c>
      <c r="E67" s="460">
        <v>3</v>
      </c>
      <c r="F67" s="460">
        <v>4</v>
      </c>
      <c r="G67" s="460">
        <v>5</v>
      </c>
      <c r="H67" s="460">
        <v>6</v>
      </c>
      <c r="I67" s="460">
        <v>7</v>
      </c>
      <c r="J67" s="460">
        <v>8</v>
      </c>
      <c r="K67" s="460">
        <v>9</v>
      </c>
      <c r="L67" s="460">
        <v>10</v>
      </c>
      <c r="M67" s="460">
        <v>11</v>
      </c>
      <c r="N67" s="460">
        <v>12</v>
      </c>
    </row>
    <row r="68" spans="1:14" ht="15" hidden="1">
      <c r="A68" s="506" t="s">
        <v>0</v>
      </c>
      <c r="B68" s="427" t="s">
        <v>130</v>
      </c>
      <c r="C68" s="806">
        <f aca="true" t="shared" si="19" ref="C68:C73">SUM(D68,E68,H68:N68)</f>
        <v>2311277</v>
      </c>
      <c r="D68" s="814">
        <f>SUM(D69:D70)</f>
        <v>1123974</v>
      </c>
      <c r="E68" s="814">
        <f aca="true" t="shared" si="20" ref="E68:J68">SUM(E69:E70)</f>
        <v>830528</v>
      </c>
      <c r="F68" s="814">
        <f t="shared" si="20"/>
        <v>328093</v>
      </c>
      <c r="G68" s="814">
        <f t="shared" si="20"/>
        <v>502435</v>
      </c>
      <c r="H68" s="814">
        <f t="shared" si="20"/>
        <v>0</v>
      </c>
      <c r="I68" s="814">
        <f t="shared" si="20"/>
        <v>134519</v>
      </c>
      <c r="J68" s="814">
        <f t="shared" si="20"/>
        <v>110768</v>
      </c>
      <c r="K68" s="814">
        <f>SUM(K69:K70)</f>
        <v>1724</v>
      </c>
      <c r="L68" s="814">
        <f>SUM(L69:L70)</f>
        <v>0</v>
      </c>
      <c r="M68" s="814">
        <f>SUM(M69:M70)</f>
        <v>0</v>
      </c>
      <c r="N68" s="814">
        <f>SUM(N69:N70)</f>
        <v>109764</v>
      </c>
    </row>
    <row r="69" spans="1:14" ht="15" hidden="1">
      <c r="A69" s="507">
        <v>1</v>
      </c>
      <c r="B69" s="429" t="s">
        <v>131</v>
      </c>
      <c r="C69" s="811">
        <f t="shared" si="19"/>
        <v>1739857</v>
      </c>
      <c r="D69" s="841">
        <v>934728</v>
      </c>
      <c r="E69" s="816">
        <f>SUM(F69:G69)</f>
        <v>687604</v>
      </c>
      <c r="F69" s="841">
        <v>321211</v>
      </c>
      <c r="G69" s="841">
        <v>366393</v>
      </c>
      <c r="H69" s="841">
        <v>0</v>
      </c>
      <c r="I69" s="841">
        <v>108413</v>
      </c>
      <c r="J69" s="841">
        <v>7188</v>
      </c>
      <c r="K69" s="841">
        <v>1724</v>
      </c>
      <c r="L69" s="841">
        <v>0</v>
      </c>
      <c r="M69" s="841">
        <v>0</v>
      </c>
      <c r="N69" s="841">
        <v>200</v>
      </c>
    </row>
    <row r="70" spans="1:14" ht="15" hidden="1">
      <c r="A70" s="507">
        <v>2</v>
      </c>
      <c r="B70" s="429" t="s">
        <v>132</v>
      </c>
      <c r="C70" s="811">
        <f t="shared" si="19"/>
        <v>571420</v>
      </c>
      <c r="D70" s="841">
        <v>189246</v>
      </c>
      <c r="E70" s="816">
        <f>SUM(F70:G70)</f>
        <v>142924</v>
      </c>
      <c r="F70" s="841">
        <v>6882</v>
      </c>
      <c r="G70" s="841">
        <v>136042</v>
      </c>
      <c r="H70" s="841">
        <v>0</v>
      </c>
      <c r="I70" s="841">
        <v>26106</v>
      </c>
      <c r="J70" s="841">
        <v>103580</v>
      </c>
      <c r="K70" s="841">
        <v>0</v>
      </c>
      <c r="L70" s="841">
        <v>0</v>
      </c>
      <c r="M70" s="841">
        <v>0</v>
      </c>
      <c r="N70" s="841">
        <v>109564</v>
      </c>
    </row>
    <row r="71" spans="1:14" ht="15" hidden="1">
      <c r="A71" s="508" t="s">
        <v>1</v>
      </c>
      <c r="B71" s="394" t="s">
        <v>133</v>
      </c>
      <c r="C71" s="811">
        <f t="shared" si="19"/>
        <v>12935</v>
      </c>
      <c r="D71" s="841">
        <v>7500</v>
      </c>
      <c r="E71" s="816">
        <f>SUM(F71:G71)</f>
        <v>5035</v>
      </c>
      <c r="F71" s="841">
        <v>400</v>
      </c>
      <c r="G71" s="841">
        <v>4635</v>
      </c>
      <c r="H71" s="841">
        <v>0</v>
      </c>
      <c r="I71" s="841">
        <v>400</v>
      </c>
      <c r="J71" s="841">
        <v>0</v>
      </c>
      <c r="K71" s="841">
        <v>0</v>
      </c>
      <c r="L71" s="841">
        <v>0</v>
      </c>
      <c r="M71" s="841">
        <v>0</v>
      </c>
      <c r="N71" s="841">
        <v>0</v>
      </c>
    </row>
    <row r="72" spans="1:14" ht="15" hidden="1">
      <c r="A72" s="508" t="s">
        <v>9</v>
      </c>
      <c r="B72" s="394" t="s">
        <v>134</v>
      </c>
      <c r="C72" s="811">
        <f t="shared" si="19"/>
        <v>0</v>
      </c>
      <c r="D72" s="406"/>
      <c r="E72" s="816">
        <f>SUM(F72:G72)</f>
        <v>0</v>
      </c>
      <c r="F72" s="406"/>
      <c r="G72" s="406"/>
      <c r="H72" s="406"/>
      <c r="I72" s="406"/>
      <c r="J72" s="406"/>
      <c r="K72" s="406"/>
      <c r="L72" s="406"/>
      <c r="M72" s="406"/>
      <c r="N72" s="406"/>
    </row>
    <row r="73" spans="1:14" ht="15" hidden="1">
      <c r="A73" s="508" t="s">
        <v>135</v>
      </c>
      <c r="B73" s="394" t="s">
        <v>136</v>
      </c>
      <c r="C73" s="806">
        <f t="shared" si="19"/>
        <v>2298342</v>
      </c>
      <c r="D73" s="807">
        <f>D68-D71+D72</f>
        <v>1116474</v>
      </c>
      <c r="E73" s="807">
        <f aca="true" t="shared" si="21" ref="E73:N73">E68-SUM(E71,E72)</f>
        <v>825493</v>
      </c>
      <c r="F73" s="807">
        <f t="shared" si="21"/>
        <v>327693</v>
      </c>
      <c r="G73" s="807">
        <f t="shared" si="21"/>
        <v>497800</v>
      </c>
      <c r="H73" s="807">
        <f t="shared" si="21"/>
        <v>0</v>
      </c>
      <c r="I73" s="807">
        <f t="shared" si="21"/>
        <v>134119</v>
      </c>
      <c r="J73" s="807">
        <f t="shared" si="21"/>
        <v>110768</v>
      </c>
      <c r="K73" s="807">
        <f t="shared" si="21"/>
        <v>1724</v>
      </c>
      <c r="L73" s="807">
        <f t="shared" si="21"/>
        <v>0</v>
      </c>
      <c r="M73" s="807">
        <f t="shared" si="21"/>
        <v>0</v>
      </c>
      <c r="N73" s="807">
        <f t="shared" si="21"/>
        <v>109764</v>
      </c>
    </row>
    <row r="74" spans="1:14" ht="15" hidden="1">
      <c r="A74" s="508" t="s">
        <v>51</v>
      </c>
      <c r="B74" s="430" t="s">
        <v>137</v>
      </c>
      <c r="C74" s="815">
        <f>SUM(C75:C82)</f>
        <v>1029119</v>
      </c>
      <c r="D74" s="815">
        <f>SUM(D75:D82)</f>
        <v>528966</v>
      </c>
      <c r="E74" s="815">
        <f>SUM(E75:E82)</f>
        <v>154746</v>
      </c>
      <c r="F74" s="815">
        <f aca="true" t="shared" si="22" ref="F74:N74">SUM(F75:F82)</f>
        <v>11500</v>
      </c>
      <c r="G74" s="815">
        <f t="shared" si="22"/>
        <v>143246</v>
      </c>
      <c r="H74" s="815">
        <f t="shared" si="22"/>
        <v>0</v>
      </c>
      <c r="I74" s="815">
        <f t="shared" si="22"/>
        <v>126744</v>
      </c>
      <c r="J74" s="815">
        <f t="shared" si="22"/>
        <v>108899</v>
      </c>
      <c r="K74" s="815">
        <f t="shared" si="22"/>
        <v>0</v>
      </c>
      <c r="L74" s="815">
        <f t="shared" si="22"/>
        <v>0</v>
      </c>
      <c r="M74" s="815">
        <f t="shared" si="22"/>
        <v>0</v>
      </c>
      <c r="N74" s="815">
        <f t="shared" si="22"/>
        <v>109764</v>
      </c>
    </row>
    <row r="75" spans="1:14" ht="15" hidden="1">
      <c r="A75" s="507" t="s">
        <v>53</v>
      </c>
      <c r="B75" s="429" t="s">
        <v>138</v>
      </c>
      <c r="C75" s="811">
        <f>SUM(D75+E75+H75+I75+J75+K75+L75+M75+N75)</f>
        <v>406342</v>
      </c>
      <c r="D75" s="841">
        <v>140707</v>
      </c>
      <c r="E75" s="816">
        <f aca="true" t="shared" si="23" ref="E75:E80">SUM(F75:G75)</f>
        <v>123081</v>
      </c>
      <c r="F75" s="841">
        <v>6735</v>
      </c>
      <c r="G75" s="841">
        <v>116346</v>
      </c>
      <c r="H75" s="841">
        <v>0</v>
      </c>
      <c r="I75" s="841">
        <v>21850</v>
      </c>
      <c r="J75" s="841">
        <v>33833</v>
      </c>
      <c r="K75" s="841">
        <v>0</v>
      </c>
      <c r="L75" s="841">
        <v>0</v>
      </c>
      <c r="M75" s="841">
        <v>0</v>
      </c>
      <c r="N75" s="841">
        <v>86871</v>
      </c>
    </row>
    <row r="76" spans="1:14" ht="15" hidden="1">
      <c r="A76" s="507" t="s">
        <v>54</v>
      </c>
      <c r="B76" s="429" t="s">
        <v>139</v>
      </c>
      <c r="C76" s="811">
        <f>SUM(D76,E76,H76:N76)</f>
        <v>3000</v>
      </c>
      <c r="D76" s="841">
        <v>0</v>
      </c>
      <c r="E76" s="816">
        <f t="shared" si="23"/>
        <v>3000</v>
      </c>
      <c r="F76" s="841">
        <v>0</v>
      </c>
      <c r="G76" s="841">
        <v>3000</v>
      </c>
      <c r="H76" s="841">
        <v>0</v>
      </c>
      <c r="I76" s="841">
        <v>0</v>
      </c>
      <c r="J76" s="841">
        <v>0</v>
      </c>
      <c r="K76" s="841">
        <v>0</v>
      </c>
      <c r="L76" s="841">
        <v>0</v>
      </c>
      <c r="M76" s="841">
        <v>0</v>
      </c>
      <c r="N76" s="841">
        <v>0</v>
      </c>
    </row>
    <row r="77" spans="1:14" ht="15" hidden="1">
      <c r="A77" s="507" t="s">
        <v>140</v>
      </c>
      <c r="B77" s="429" t="s">
        <v>201</v>
      </c>
      <c r="C77" s="811">
        <f>SUM(D77,E77,H77:N77)</f>
        <v>0</v>
      </c>
      <c r="D77" s="841">
        <v>0</v>
      </c>
      <c r="E77" s="816">
        <f t="shared" si="23"/>
        <v>0</v>
      </c>
      <c r="F77" s="841">
        <v>0</v>
      </c>
      <c r="G77" s="841">
        <v>0</v>
      </c>
      <c r="H77" s="841">
        <v>0</v>
      </c>
      <c r="I77" s="841">
        <v>0</v>
      </c>
      <c r="J77" s="841">
        <v>0</v>
      </c>
      <c r="K77" s="841">
        <v>0</v>
      </c>
      <c r="L77" s="841">
        <v>0</v>
      </c>
      <c r="M77" s="841">
        <v>0</v>
      </c>
      <c r="N77" s="841">
        <v>0</v>
      </c>
    </row>
    <row r="78" spans="1:14" ht="15" hidden="1">
      <c r="A78" s="507" t="s">
        <v>142</v>
      </c>
      <c r="B78" s="429" t="s">
        <v>141</v>
      </c>
      <c r="C78" s="811">
        <f>D78+E78+H78+I78+J78+K78+L78+M78+N78</f>
        <v>263245</v>
      </c>
      <c r="D78" s="841">
        <v>110507</v>
      </c>
      <c r="E78" s="816">
        <f t="shared" si="23"/>
        <v>25465</v>
      </c>
      <c r="F78" s="841">
        <v>4765</v>
      </c>
      <c r="G78" s="841">
        <v>20700</v>
      </c>
      <c r="H78" s="841">
        <v>0</v>
      </c>
      <c r="I78" s="841">
        <v>29314</v>
      </c>
      <c r="J78" s="841">
        <v>75066</v>
      </c>
      <c r="K78" s="841">
        <v>0</v>
      </c>
      <c r="L78" s="841">
        <v>0</v>
      </c>
      <c r="M78" s="841">
        <v>0</v>
      </c>
      <c r="N78" s="841">
        <v>22893</v>
      </c>
    </row>
    <row r="79" spans="1:14" ht="15" hidden="1">
      <c r="A79" s="507" t="s">
        <v>144</v>
      </c>
      <c r="B79" s="429" t="s">
        <v>143</v>
      </c>
      <c r="C79" s="812">
        <f>SUM(D79,E79,H79:N79)</f>
        <v>213652</v>
      </c>
      <c r="D79" s="841">
        <v>213652</v>
      </c>
      <c r="E79" s="820">
        <f t="shared" si="23"/>
        <v>0</v>
      </c>
      <c r="F79" s="841">
        <v>0</v>
      </c>
      <c r="G79" s="841">
        <v>0</v>
      </c>
      <c r="H79" s="841">
        <v>0</v>
      </c>
      <c r="I79" s="841">
        <v>0</v>
      </c>
      <c r="J79" s="841">
        <v>0</v>
      </c>
      <c r="K79" s="841">
        <v>0</v>
      </c>
      <c r="L79" s="841">
        <v>0</v>
      </c>
      <c r="M79" s="841">
        <v>0</v>
      </c>
      <c r="N79" s="841">
        <v>0</v>
      </c>
    </row>
    <row r="80" spans="1:14" ht="15" hidden="1">
      <c r="A80" s="507" t="s">
        <v>146</v>
      </c>
      <c r="B80" s="429" t="s">
        <v>145</v>
      </c>
      <c r="C80" s="811">
        <f>SUM(D80,E80,H80:N80)</f>
        <v>139074</v>
      </c>
      <c r="D80" s="841">
        <v>64100</v>
      </c>
      <c r="E80" s="816">
        <f t="shared" si="23"/>
        <v>0</v>
      </c>
      <c r="F80" s="841">
        <v>0</v>
      </c>
      <c r="G80" s="841">
        <v>0</v>
      </c>
      <c r="H80" s="841">
        <v>0</v>
      </c>
      <c r="I80" s="841">
        <v>74974</v>
      </c>
      <c r="J80" s="841">
        <v>0</v>
      </c>
      <c r="K80" s="841">
        <v>0</v>
      </c>
      <c r="L80" s="841">
        <v>0</v>
      </c>
      <c r="M80" s="841">
        <v>0</v>
      </c>
      <c r="N80" s="841">
        <v>0</v>
      </c>
    </row>
    <row r="81" spans="1:14" ht="25.5" hidden="1">
      <c r="A81" s="507" t="s">
        <v>148</v>
      </c>
      <c r="B81" s="431" t="s">
        <v>147</v>
      </c>
      <c r="C81" s="811">
        <f>SUM(D81,E81,H81:N81)</f>
        <v>0</v>
      </c>
      <c r="D81" s="818"/>
      <c r="E81" s="816">
        <f>SUM(F81:G81)</f>
        <v>0</v>
      </c>
      <c r="F81" s="841">
        <v>0</v>
      </c>
      <c r="G81" s="841">
        <v>0</v>
      </c>
      <c r="H81" s="841">
        <v>0</v>
      </c>
      <c r="I81" s="841">
        <v>0</v>
      </c>
      <c r="J81" s="841">
        <v>0</v>
      </c>
      <c r="K81" s="841">
        <v>0</v>
      </c>
      <c r="L81" s="841">
        <v>0</v>
      </c>
      <c r="M81" s="841">
        <v>0</v>
      </c>
      <c r="N81" s="841">
        <v>0</v>
      </c>
    </row>
    <row r="82" spans="1:14" ht="15.75" hidden="1">
      <c r="A82" s="507" t="s">
        <v>185</v>
      </c>
      <c r="B82" s="429" t="s">
        <v>149</v>
      </c>
      <c r="C82" s="811">
        <f>SUM(D82,E82,H82:N82)</f>
        <v>3806</v>
      </c>
      <c r="D82" s="818"/>
      <c r="E82" s="816">
        <f>SUM(F82:G82)</f>
        <v>3200</v>
      </c>
      <c r="F82" s="841">
        <v>0</v>
      </c>
      <c r="G82" s="841">
        <v>3200</v>
      </c>
      <c r="H82" s="841">
        <v>0</v>
      </c>
      <c r="I82" s="841">
        <v>606</v>
      </c>
      <c r="J82" s="841">
        <v>0</v>
      </c>
      <c r="K82" s="841">
        <v>0</v>
      </c>
      <c r="L82" s="841">
        <v>0</v>
      </c>
      <c r="M82" s="841">
        <v>0</v>
      </c>
      <c r="N82" s="841">
        <v>0</v>
      </c>
    </row>
    <row r="83" spans="1:14" ht="15" hidden="1">
      <c r="A83" s="508" t="s">
        <v>52</v>
      </c>
      <c r="B83" s="394" t="s">
        <v>150</v>
      </c>
      <c r="C83" s="806">
        <f>C73-C74</f>
        <v>1269223</v>
      </c>
      <c r="D83" s="806">
        <f>D73-D74</f>
        <v>587508</v>
      </c>
      <c r="E83" s="806">
        <f>E73-E74</f>
        <v>670747</v>
      </c>
      <c r="F83" s="806">
        <f>F73-F74</f>
        <v>316193</v>
      </c>
      <c r="G83" s="806">
        <f>G73-G74</f>
        <v>354554</v>
      </c>
      <c r="H83" s="806">
        <f aca="true" t="shared" si="24" ref="H83:N83">H73-H74</f>
        <v>0</v>
      </c>
      <c r="I83" s="806">
        <f t="shared" si="24"/>
        <v>7375</v>
      </c>
      <c r="J83" s="806">
        <f t="shared" si="24"/>
        <v>1869</v>
      </c>
      <c r="K83" s="806">
        <f t="shared" si="24"/>
        <v>1724</v>
      </c>
      <c r="L83" s="806">
        <f t="shared" si="24"/>
        <v>0</v>
      </c>
      <c r="M83" s="806">
        <f t="shared" si="24"/>
        <v>0</v>
      </c>
      <c r="N83" s="806">
        <f t="shared" si="24"/>
        <v>0</v>
      </c>
    </row>
    <row r="84" spans="1:14" ht="24" hidden="1">
      <c r="A84" s="534" t="s">
        <v>540</v>
      </c>
      <c r="B84" s="463" t="s">
        <v>202</v>
      </c>
      <c r="C84" s="532">
        <f>(C75+C76+C77)/C74</f>
        <v>0.3977596371265131</v>
      </c>
      <c r="D84" s="533">
        <f aca="true" t="shared" si="25" ref="D84:N84">(D75+D76+D77)/D74</f>
        <v>0.2660038641424969</v>
      </c>
      <c r="E84" s="532">
        <f t="shared" si="25"/>
        <v>0.8147609631266721</v>
      </c>
      <c r="F84" s="533">
        <f t="shared" si="25"/>
        <v>0.5856521739130435</v>
      </c>
      <c r="G84" s="533">
        <f t="shared" si="25"/>
        <v>0.8331541543917457</v>
      </c>
      <c r="H84" s="533" t="e">
        <f t="shared" si="25"/>
        <v>#DIV/0!</v>
      </c>
      <c r="I84" s="533">
        <f t="shared" si="25"/>
        <v>0.17239474846935554</v>
      </c>
      <c r="J84" s="533">
        <f t="shared" si="25"/>
        <v>0.3106823754120791</v>
      </c>
      <c r="K84" s="533" t="e">
        <f t="shared" si="25"/>
        <v>#DIV/0!</v>
      </c>
      <c r="L84" s="533" t="e">
        <f t="shared" si="25"/>
        <v>#DIV/0!</v>
      </c>
      <c r="M84" s="533" t="e">
        <f t="shared" si="25"/>
        <v>#DIV/0!</v>
      </c>
      <c r="N84" s="533">
        <f t="shared" si="25"/>
        <v>0.791434350060129</v>
      </c>
    </row>
    <row r="85" ht="15" hidden="1"/>
    <row r="86" ht="15" hidden="1">
      <c r="B86" s="1020" t="s">
        <v>750</v>
      </c>
    </row>
    <row r="87" spans="1:14" ht="15" hidden="1">
      <c r="A87" s="1478" t="s">
        <v>68</v>
      </c>
      <c r="B87" s="1479"/>
      <c r="C87" s="1501" t="s">
        <v>37</v>
      </c>
      <c r="D87" s="1487" t="s">
        <v>336</v>
      </c>
      <c r="E87" s="1488"/>
      <c r="F87" s="1488"/>
      <c r="G87" s="1488"/>
      <c r="H87" s="1488"/>
      <c r="I87" s="1488"/>
      <c r="J87" s="1488"/>
      <c r="K87" s="1488"/>
      <c r="L87" s="1488"/>
      <c r="M87" s="1488"/>
      <c r="N87" s="1489"/>
    </row>
    <row r="88" spans="1:14" ht="15" hidden="1">
      <c r="A88" s="1480"/>
      <c r="B88" s="1481"/>
      <c r="C88" s="1501"/>
      <c r="D88" s="1474" t="s">
        <v>195</v>
      </c>
      <c r="E88" s="1498" t="s">
        <v>196</v>
      </c>
      <c r="F88" s="1499"/>
      <c r="G88" s="1500"/>
      <c r="H88" s="1474" t="s">
        <v>197</v>
      </c>
      <c r="I88" s="1474" t="s">
        <v>122</v>
      </c>
      <c r="J88" s="1474" t="s">
        <v>198</v>
      </c>
      <c r="K88" s="1474" t="s">
        <v>124</v>
      </c>
      <c r="L88" s="1474" t="s">
        <v>125</v>
      </c>
      <c r="M88" s="1474" t="s">
        <v>126</v>
      </c>
      <c r="N88" s="1516" t="s">
        <v>127</v>
      </c>
    </row>
    <row r="89" spans="1:14" ht="15" hidden="1">
      <c r="A89" s="1480"/>
      <c r="B89" s="1481"/>
      <c r="C89" s="1501"/>
      <c r="D89" s="1474"/>
      <c r="E89" s="1473" t="s">
        <v>36</v>
      </c>
      <c r="F89" s="1476" t="s">
        <v>7</v>
      </c>
      <c r="G89" s="1477"/>
      <c r="H89" s="1474"/>
      <c r="I89" s="1474"/>
      <c r="J89" s="1474"/>
      <c r="K89" s="1474"/>
      <c r="L89" s="1474"/>
      <c r="M89" s="1474"/>
      <c r="N89" s="1516"/>
    </row>
    <row r="90" spans="1:14" ht="15" hidden="1">
      <c r="A90" s="1482"/>
      <c r="B90" s="1483"/>
      <c r="C90" s="1501"/>
      <c r="D90" s="1475"/>
      <c r="E90" s="1475"/>
      <c r="F90" s="559" t="s">
        <v>199</v>
      </c>
      <c r="G90" s="560" t="s">
        <v>200</v>
      </c>
      <c r="H90" s="1475"/>
      <c r="I90" s="1475"/>
      <c r="J90" s="1475"/>
      <c r="K90" s="1475"/>
      <c r="L90" s="1475"/>
      <c r="M90" s="1475"/>
      <c r="N90" s="1516"/>
    </row>
    <row r="91" spans="1:14" ht="0.75" customHeight="1" hidden="1">
      <c r="A91" s="1528" t="s">
        <v>39</v>
      </c>
      <c r="B91" s="1529"/>
      <c r="C91" s="460">
        <v>1</v>
      </c>
      <c r="D91" s="460">
        <v>2</v>
      </c>
      <c r="E91" s="460">
        <v>3</v>
      </c>
      <c r="F91" s="460">
        <v>4</v>
      </c>
      <c r="G91" s="460">
        <v>5</v>
      </c>
      <c r="H91" s="460">
        <v>6</v>
      </c>
      <c r="I91" s="460">
        <v>7</v>
      </c>
      <c r="J91" s="460">
        <v>8</v>
      </c>
      <c r="K91" s="460">
        <v>9</v>
      </c>
      <c r="L91" s="460">
        <v>10</v>
      </c>
      <c r="M91" s="460">
        <v>11</v>
      </c>
      <c r="N91" s="460">
        <v>12</v>
      </c>
    </row>
    <row r="92" spans="1:14" ht="15" hidden="1">
      <c r="A92" s="506" t="s">
        <v>0</v>
      </c>
      <c r="B92" s="427" t="s">
        <v>130</v>
      </c>
      <c r="C92" s="806">
        <f aca="true" t="shared" si="26" ref="C92:C97">SUM(D92,E92,H92:N92)</f>
        <v>1453083</v>
      </c>
      <c r="D92" s="814">
        <f>SUM(D93:D94)</f>
        <v>210472</v>
      </c>
      <c r="E92" s="814">
        <f aca="true" t="shared" si="27" ref="E92:J92">SUM(E93:E94)</f>
        <v>1013762</v>
      </c>
      <c r="F92" s="814">
        <f t="shared" si="27"/>
        <v>287617</v>
      </c>
      <c r="G92" s="814">
        <f t="shared" si="27"/>
        <v>726145</v>
      </c>
      <c r="H92" s="814">
        <f t="shared" si="27"/>
        <v>0</v>
      </c>
      <c r="I92" s="814">
        <f t="shared" si="27"/>
        <v>26880</v>
      </c>
      <c r="J92" s="814">
        <f t="shared" si="27"/>
        <v>0</v>
      </c>
      <c r="K92" s="814">
        <f>SUM(K93:K94)</f>
        <v>0</v>
      </c>
      <c r="L92" s="814">
        <f>SUM(L93:L94)</f>
        <v>0</v>
      </c>
      <c r="M92" s="814">
        <f>SUM(M93:M94)</f>
        <v>0</v>
      </c>
      <c r="N92" s="814">
        <f>SUM(N93:N94)</f>
        <v>201969</v>
      </c>
    </row>
    <row r="93" spans="1:14" ht="15.75" hidden="1">
      <c r="A93" s="507">
        <v>1</v>
      </c>
      <c r="B93" s="429" t="s">
        <v>131</v>
      </c>
      <c r="C93" s="811">
        <f t="shared" si="26"/>
        <v>1011566</v>
      </c>
      <c r="D93" s="1163">
        <v>149259</v>
      </c>
      <c r="E93" s="816">
        <f>SUM(F93:G93)</f>
        <v>827444</v>
      </c>
      <c r="F93" s="1163">
        <v>267392</v>
      </c>
      <c r="G93" s="1163">
        <v>560052</v>
      </c>
      <c r="H93" s="1163"/>
      <c r="I93" s="1163">
        <v>9810</v>
      </c>
      <c r="J93" s="1163"/>
      <c r="K93" s="1163"/>
      <c r="L93" s="1163"/>
      <c r="M93" s="1163"/>
      <c r="N93" s="1163">
        <v>25053</v>
      </c>
    </row>
    <row r="94" spans="1:14" ht="15.75" hidden="1">
      <c r="A94" s="507">
        <v>2</v>
      </c>
      <c r="B94" s="429" t="s">
        <v>132</v>
      </c>
      <c r="C94" s="811">
        <f t="shared" si="26"/>
        <v>441517</v>
      </c>
      <c r="D94" s="1164">
        <v>61213</v>
      </c>
      <c r="E94" s="816">
        <f>SUM(F94:G94)</f>
        <v>186318</v>
      </c>
      <c r="F94" s="1164">
        <v>20225</v>
      </c>
      <c r="G94" s="1164">
        <v>166093</v>
      </c>
      <c r="H94" s="1164"/>
      <c r="I94" s="1164">
        <v>17070</v>
      </c>
      <c r="J94" s="1164"/>
      <c r="K94" s="1164"/>
      <c r="L94" s="1164"/>
      <c r="M94" s="1164"/>
      <c r="N94" s="1164">
        <v>176916</v>
      </c>
    </row>
    <row r="95" spans="1:14" ht="15.75" hidden="1">
      <c r="A95" s="508" t="s">
        <v>1</v>
      </c>
      <c r="B95" s="394" t="s">
        <v>133</v>
      </c>
      <c r="C95" s="811">
        <f t="shared" si="26"/>
        <v>22990</v>
      </c>
      <c r="D95" s="1164">
        <v>2290</v>
      </c>
      <c r="E95" s="816">
        <f>SUM(F95:G95)</f>
        <v>20700</v>
      </c>
      <c r="F95" s="1164">
        <v>20100</v>
      </c>
      <c r="G95" s="1164">
        <v>600</v>
      </c>
      <c r="H95" s="1164"/>
      <c r="I95" s="1164">
        <v>0</v>
      </c>
      <c r="J95" s="1164"/>
      <c r="K95" s="1164"/>
      <c r="L95" s="1164"/>
      <c r="M95" s="1164"/>
      <c r="N95" s="1164">
        <v>0</v>
      </c>
    </row>
    <row r="96" spans="1:14" ht="15.75" hidden="1">
      <c r="A96" s="508" t="s">
        <v>9</v>
      </c>
      <c r="B96" s="394" t="s">
        <v>134</v>
      </c>
      <c r="C96" s="811">
        <f t="shared" si="26"/>
        <v>0</v>
      </c>
      <c r="D96" s="941">
        <v>0</v>
      </c>
      <c r="E96" s="816">
        <f>SUM(F96:G96)</f>
        <v>0</v>
      </c>
      <c r="F96" s="941">
        <v>0</v>
      </c>
      <c r="G96" s="941">
        <v>0</v>
      </c>
      <c r="H96" s="941">
        <v>0</v>
      </c>
      <c r="I96" s="941">
        <v>0</v>
      </c>
      <c r="J96" s="941">
        <v>0</v>
      </c>
      <c r="K96" s="941">
        <v>0</v>
      </c>
      <c r="L96" s="941">
        <v>0</v>
      </c>
      <c r="M96" s="941">
        <v>0</v>
      </c>
      <c r="N96" s="941">
        <v>0</v>
      </c>
    </row>
    <row r="97" spans="1:14" ht="15" hidden="1">
      <c r="A97" s="508" t="s">
        <v>135</v>
      </c>
      <c r="B97" s="394" t="s">
        <v>136</v>
      </c>
      <c r="C97" s="806">
        <f t="shared" si="26"/>
        <v>1430093</v>
      </c>
      <c r="D97" s="807">
        <f>D92-SUM(D95,D96)</f>
        <v>208182</v>
      </c>
      <c r="E97" s="807">
        <f aca="true" t="shared" si="28" ref="E97:N97">E92-SUM(E95,E96)</f>
        <v>993062</v>
      </c>
      <c r="F97" s="807">
        <f t="shared" si="28"/>
        <v>267517</v>
      </c>
      <c r="G97" s="807">
        <f t="shared" si="28"/>
        <v>725545</v>
      </c>
      <c r="H97" s="807">
        <f t="shared" si="28"/>
        <v>0</v>
      </c>
      <c r="I97" s="807">
        <f t="shared" si="28"/>
        <v>26880</v>
      </c>
      <c r="J97" s="807">
        <f t="shared" si="28"/>
        <v>0</v>
      </c>
      <c r="K97" s="807">
        <f t="shared" si="28"/>
        <v>0</v>
      </c>
      <c r="L97" s="807">
        <f t="shared" si="28"/>
        <v>0</v>
      </c>
      <c r="M97" s="807">
        <f t="shared" si="28"/>
        <v>0</v>
      </c>
      <c r="N97" s="807">
        <f t="shared" si="28"/>
        <v>201969</v>
      </c>
    </row>
    <row r="98" spans="1:14" ht="15" hidden="1">
      <c r="A98" s="508" t="s">
        <v>51</v>
      </c>
      <c r="B98" s="430" t="s">
        <v>137</v>
      </c>
      <c r="C98" s="815">
        <f>SUM(C99:C106)</f>
        <v>521983</v>
      </c>
      <c r="D98" s="815">
        <f>SUM(D99:D106)</f>
        <v>100023</v>
      </c>
      <c r="E98" s="815">
        <f>SUM(E99:E106)</f>
        <v>202821</v>
      </c>
      <c r="F98" s="815">
        <f aca="true" t="shared" si="29" ref="F98:N98">SUM(F99:F106)</f>
        <v>20625</v>
      </c>
      <c r="G98" s="815">
        <f t="shared" si="29"/>
        <v>182196</v>
      </c>
      <c r="H98" s="815">
        <f t="shared" si="29"/>
        <v>0</v>
      </c>
      <c r="I98" s="815">
        <f t="shared" si="29"/>
        <v>17170</v>
      </c>
      <c r="J98" s="815">
        <f t="shared" si="29"/>
        <v>0</v>
      </c>
      <c r="K98" s="815">
        <f t="shared" si="29"/>
        <v>0</v>
      </c>
      <c r="L98" s="815">
        <f t="shared" si="29"/>
        <v>0</v>
      </c>
      <c r="M98" s="815">
        <f t="shared" si="29"/>
        <v>0</v>
      </c>
      <c r="N98" s="815">
        <f t="shared" si="29"/>
        <v>201969</v>
      </c>
    </row>
    <row r="99" spans="1:14" ht="15.75" hidden="1">
      <c r="A99" s="507" t="s">
        <v>53</v>
      </c>
      <c r="B99" s="429" t="s">
        <v>138</v>
      </c>
      <c r="C99" s="811">
        <f>SUM(D99+E99+H99+I99+J99+K99+L99+M99+N99)</f>
        <v>387546</v>
      </c>
      <c r="D99" s="1165">
        <v>37005</v>
      </c>
      <c r="E99" s="816">
        <f aca="true" t="shared" si="30" ref="E99:E104">SUM(F99:G99)</f>
        <v>153990</v>
      </c>
      <c r="F99" s="1165">
        <v>15123</v>
      </c>
      <c r="G99" s="1165">
        <v>138867</v>
      </c>
      <c r="H99" s="1165"/>
      <c r="I99" s="1165">
        <v>17170</v>
      </c>
      <c r="J99" s="1165"/>
      <c r="K99" s="1165"/>
      <c r="L99" s="1165"/>
      <c r="M99" s="1165"/>
      <c r="N99" s="1165">
        <v>179381</v>
      </c>
    </row>
    <row r="100" spans="1:14" ht="15.75" hidden="1">
      <c r="A100" s="507" t="s">
        <v>54</v>
      </c>
      <c r="B100" s="429" t="s">
        <v>139</v>
      </c>
      <c r="C100" s="811">
        <f>SUM(D100,E100,H100:N100)</f>
        <v>0</v>
      </c>
      <c r="D100" s="1164">
        <v>0</v>
      </c>
      <c r="E100" s="816">
        <f t="shared" si="30"/>
        <v>0</v>
      </c>
      <c r="F100" s="1164">
        <v>0</v>
      </c>
      <c r="G100" s="1164">
        <v>0</v>
      </c>
      <c r="H100" s="1164"/>
      <c r="I100" s="1164">
        <v>0</v>
      </c>
      <c r="J100" s="1164"/>
      <c r="K100" s="1164"/>
      <c r="L100" s="1164"/>
      <c r="M100" s="1164"/>
      <c r="N100" s="1164">
        <v>0</v>
      </c>
    </row>
    <row r="101" spans="1:14" ht="15.75" hidden="1">
      <c r="A101" s="507" t="s">
        <v>140</v>
      </c>
      <c r="B101" s="429" t="s">
        <v>201</v>
      </c>
      <c r="C101" s="811">
        <f>SUM(D101,E101,H101:N101)</f>
        <v>0</v>
      </c>
      <c r="D101" s="1164">
        <v>0</v>
      </c>
      <c r="E101" s="816">
        <f t="shared" si="30"/>
        <v>0</v>
      </c>
      <c r="F101" s="1164">
        <v>0</v>
      </c>
      <c r="G101" s="1164">
        <v>0</v>
      </c>
      <c r="H101" s="1164"/>
      <c r="I101" s="1164">
        <v>0</v>
      </c>
      <c r="J101" s="1164"/>
      <c r="K101" s="1164"/>
      <c r="L101" s="1164"/>
      <c r="M101" s="1164"/>
      <c r="N101" s="1164">
        <v>0</v>
      </c>
    </row>
    <row r="102" spans="1:14" ht="15.75" hidden="1">
      <c r="A102" s="507" t="s">
        <v>142</v>
      </c>
      <c r="B102" s="429" t="s">
        <v>141</v>
      </c>
      <c r="C102" s="811">
        <f>D102+E102+H102+I102+J102+K102+L102+M102+N102</f>
        <v>113912</v>
      </c>
      <c r="D102" s="1164">
        <v>42643</v>
      </c>
      <c r="E102" s="816">
        <f t="shared" si="30"/>
        <v>48831</v>
      </c>
      <c r="F102" s="1164">
        <v>5502</v>
      </c>
      <c r="G102" s="1164">
        <v>43329</v>
      </c>
      <c r="H102" s="1164"/>
      <c r="I102" s="1164">
        <v>0</v>
      </c>
      <c r="J102" s="1164"/>
      <c r="K102" s="1164"/>
      <c r="L102" s="1164"/>
      <c r="M102" s="1164"/>
      <c r="N102" s="1164">
        <v>22438</v>
      </c>
    </row>
    <row r="103" spans="1:14" ht="15.75" hidden="1">
      <c r="A103" s="507" t="s">
        <v>144</v>
      </c>
      <c r="B103" s="429" t="s">
        <v>143</v>
      </c>
      <c r="C103" s="812">
        <f>SUM(D103,E103,H103:N103)</f>
        <v>20375</v>
      </c>
      <c r="D103" s="1164">
        <v>20375</v>
      </c>
      <c r="E103" s="820">
        <f t="shared" si="30"/>
        <v>0</v>
      </c>
      <c r="F103" s="941">
        <v>0</v>
      </c>
      <c r="G103" s="941">
        <v>0</v>
      </c>
      <c r="H103" s="941">
        <v>0</v>
      </c>
      <c r="I103" s="941">
        <v>0</v>
      </c>
      <c r="J103" s="941">
        <v>0</v>
      </c>
      <c r="K103" s="941">
        <v>0</v>
      </c>
      <c r="L103" s="941">
        <v>0</v>
      </c>
      <c r="M103" s="941">
        <v>0</v>
      </c>
      <c r="N103" s="941">
        <v>0</v>
      </c>
    </row>
    <row r="104" spans="1:14" ht="15.75" hidden="1">
      <c r="A104" s="507" t="s">
        <v>146</v>
      </c>
      <c r="B104" s="429" t="s">
        <v>145</v>
      </c>
      <c r="C104" s="811">
        <f>SUM(D104,E104,H104:N104)</f>
        <v>0</v>
      </c>
      <c r="D104" s="941">
        <v>0</v>
      </c>
      <c r="E104" s="816">
        <f t="shared" si="30"/>
        <v>0</v>
      </c>
      <c r="F104" s="941">
        <v>0</v>
      </c>
      <c r="G104" s="941">
        <v>0</v>
      </c>
      <c r="H104" s="941">
        <v>0</v>
      </c>
      <c r="I104" s="941">
        <v>0</v>
      </c>
      <c r="J104" s="941">
        <v>0</v>
      </c>
      <c r="K104" s="941">
        <v>0</v>
      </c>
      <c r="L104" s="941">
        <v>0</v>
      </c>
      <c r="M104" s="941">
        <v>0</v>
      </c>
      <c r="N104" s="941">
        <v>0</v>
      </c>
    </row>
    <row r="105" spans="1:14" ht="25.5" hidden="1">
      <c r="A105" s="507" t="s">
        <v>148</v>
      </c>
      <c r="B105" s="431" t="s">
        <v>147</v>
      </c>
      <c r="C105" s="811">
        <f>SUM(D105,E105,H105:N105)</f>
        <v>0</v>
      </c>
      <c r="D105" s="941">
        <v>0</v>
      </c>
      <c r="E105" s="816">
        <f>SUM(F105:G105)</f>
        <v>0</v>
      </c>
      <c r="F105" s="941">
        <v>0</v>
      </c>
      <c r="G105" s="941">
        <v>0</v>
      </c>
      <c r="H105" s="941">
        <v>0</v>
      </c>
      <c r="I105" s="941">
        <v>0</v>
      </c>
      <c r="J105" s="941">
        <v>0</v>
      </c>
      <c r="K105" s="941">
        <v>0</v>
      </c>
      <c r="L105" s="941">
        <v>0</v>
      </c>
      <c r="M105" s="941">
        <v>0</v>
      </c>
      <c r="N105" s="941">
        <v>0</v>
      </c>
    </row>
    <row r="106" spans="1:14" ht="15.75" hidden="1">
      <c r="A106" s="507" t="s">
        <v>185</v>
      </c>
      <c r="B106" s="429" t="s">
        <v>149</v>
      </c>
      <c r="C106" s="811">
        <f>SUM(D106,E106,H106:N106)</f>
        <v>150</v>
      </c>
      <c r="D106" s="941">
        <v>0</v>
      </c>
      <c r="E106" s="816">
        <f>SUM(F106:G106)</f>
        <v>0</v>
      </c>
      <c r="F106" s="941">
        <v>0</v>
      </c>
      <c r="G106" s="941">
        <v>0</v>
      </c>
      <c r="H106" s="941">
        <v>0</v>
      </c>
      <c r="I106" s="941">
        <v>0</v>
      </c>
      <c r="J106" s="941">
        <v>0</v>
      </c>
      <c r="K106" s="941">
        <v>0</v>
      </c>
      <c r="L106" s="941">
        <v>0</v>
      </c>
      <c r="M106" s="941">
        <v>0</v>
      </c>
      <c r="N106" s="941">
        <v>150</v>
      </c>
    </row>
    <row r="107" spans="1:14" ht="15" hidden="1">
      <c r="A107" s="508" t="s">
        <v>52</v>
      </c>
      <c r="B107" s="394" t="s">
        <v>150</v>
      </c>
      <c r="C107" s="806">
        <f>C97-C98</f>
        <v>908110</v>
      </c>
      <c r="D107" s="806">
        <f>D97-D98</f>
        <v>108159</v>
      </c>
      <c r="E107" s="806">
        <f>E97-E98</f>
        <v>790241</v>
      </c>
      <c r="F107" s="806">
        <f>F97-F98</f>
        <v>246892</v>
      </c>
      <c r="G107" s="806">
        <f>G97-G98</f>
        <v>543349</v>
      </c>
      <c r="H107" s="806">
        <f aca="true" t="shared" si="31" ref="H107:N107">H97-H98</f>
        <v>0</v>
      </c>
      <c r="I107" s="806">
        <f t="shared" si="31"/>
        <v>9710</v>
      </c>
      <c r="J107" s="806">
        <f t="shared" si="31"/>
        <v>0</v>
      </c>
      <c r="K107" s="806">
        <f t="shared" si="31"/>
        <v>0</v>
      </c>
      <c r="L107" s="806">
        <f t="shared" si="31"/>
        <v>0</v>
      </c>
      <c r="M107" s="806">
        <f t="shared" si="31"/>
        <v>0</v>
      </c>
      <c r="N107" s="806">
        <f t="shared" si="31"/>
        <v>0</v>
      </c>
    </row>
    <row r="108" spans="1:14" ht="0.75" customHeight="1" hidden="1">
      <c r="A108" s="534" t="s">
        <v>540</v>
      </c>
      <c r="B108" s="463" t="s">
        <v>202</v>
      </c>
      <c r="C108" s="532">
        <f>(C99+C100+C101)/C98</f>
        <v>0.7424494667450856</v>
      </c>
      <c r="D108" s="533">
        <f aca="true" t="shared" si="32" ref="D108:N108">(D99+D100+D101)/D98</f>
        <v>0.3699649080711436</v>
      </c>
      <c r="E108" s="532">
        <f t="shared" si="32"/>
        <v>0.7592409070066709</v>
      </c>
      <c r="F108" s="533">
        <f t="shared" si="32"/>
        <v>0.7332363636363637</v>
      </c>
      <c r="G108" s="533">
        <f t="shared" si="32"/>
        <v>0.7621846802344727</v>
      </c>
      <c r="H108" s="533" t="e">
        <f t="shared" si="32"/>
        <v>#DIV/0!</v>
      </c>
      <c r="I108" s="533">
        <f t="shared" si="32"/>
        <v>1</v>
      </c>
      <c r="J108" s="533" t="e">
        <f t="shared" si="32"/>
        <v>#DIV/0!</v>
      </c>
      <c r="K108" s="533" t="e">
        <f t="shared" si="32"/>
        <v>#DIV/0!</v>
      </c>
      <c r="L108" s="533" t="e">
        <f t="shared" si="32"/>
        <v>#DIV/0!</v>
      </c>
      <c r="M108" s="533" t="e">
        <f t="shared" si="32"/>
        <v>#DIV/0!</v>
      </c>
      <c r="N108" s="533">
        <f t="shared" si="32"/>
        <v>0.8881610544192425</v>
      </c>
    </row>
    <row r="109" ht="15" hidden="1"/>
    <row r="110" ht="15" hidden="1">
      <c r="B110" s="388" t="s">
        <v>752</v>
      </c>
    </row>
    <row r="111" spans="1:14" ht="15" hidden="1">
      <c r="A111" s="1478" t="s">
        <v>68</v>
      </c>
      <c r="B111" s="1479"/>
      <c r="C111" s="1501" t="s">
        <v>37</v>
      </c>
      <c r="D111" s="1487" t="s">
        <v>336</v>
      </c>
      <c r="E111" s="1488"/>
      <c r="F111" s="1488"/>
      <c r="G111" s="1488"/>
      <c r="H111" s="1488"/>
      <c r="I111" s="1488"/>
      <c r="J111" s="1488"/>
      <c r="K111" s="1488"/>
      <c r="L111" s="1488"/>
      <c r="M111" s="1488"/>
      <c r="N111" s="1489"/>
    </row>
    <row r="112" spans="1:14" ht="15" hidden="1">
      <c r="A112" s="1480"/>
      <c r="B112" s="1481"/>
      <c r="C112" s="1501"/>
      <c r="D112" s="1474" t="s">
        <v>195</v>
      </c>
      <c r="E112" s="1498" t="s">
        <v>196</v>
      </c>
      <c r="F112" s="1499"/>
      <c r="G112" s="1500"/>
      <c r="H112" s="1474" t="s">
        <v>197</v>
      </c>
      <c r="I112" s="1474" t="s">
        <v>122</v>
      </c>
      <c r="J112" s="1474" t="s">
        <v>198</v>
      </c>
      <c r="K112" s="1474" t="s">
        <v>124</v>
      </c>
      <c r="L112" s="1474" t="s">
        <v>125</v>
      </c>
      <c r="M112" s="1474" t="s">
        <v>126</v>
      </c>
      <c r="N112" s="1516" t="s">
        <v>127</v>
      </c>
    </row>
    <row r="113" spans="1:14" ht="15" hidden="1">
      <c r="A113" s="1480"/>
      <c r="B113" s="1481"/>
      <c r="C113" s="1501"/>
      <c r="D113" s="1474"/>
      <c r="E113" s="1473" t="s">
        <v>36</v>
      </c>
      <c r="F113" s="1476" t="s">
        <v>7</v>
      </c>
      <c r="G113" s="1477"/>
      <c r="H113" s="1474"/>
      <c r="I113" s="1474"/>
      <c r="J113" s="1474"/>
      <c r="K113" s="1474"/>
      <c r="L113" s="1474"/>
      <c r="M113" s="1474"/>
      <c r="N113" s="1516"/>
    </row>
    <row r="114" spans="1:14" ht="15" hidden="1">
      <c r="A114" s="1482"/>
      <c r="B114" s="1483"/>
      <c r="C114" s="1501"/>
      <c r="D114" s="1475"/>
      <c r="E114" s="1475"/>
      <c r="F114" s="559" t="s">
        <v>199</v>
      </c>
      <c r="G114" s="560" t="s">
        <v>200</v>
      </c>
      <c r="H114" s="1475"/>
      <c r="I114" s="1475"/>
      <c r="J114" s="1475"/>
      <c r="K114" s="1475"/>
      <c r="L114" s="1475"/>
      <c r="M114" s="1475"/>
      <c r="N114" s="1516"/>
    </row>
    <row r="115" spans="1:14" ht="15.75" hidden="1">
      <c r="A115" s="1528" t="s">
        <v>39</v>
      </c>
      <c r="B115" s="1529"/>
      <c r="C115" s="460">
        <v>1</v>
      </c>
      <c r="D115" s="460">
        <v>2</v>
      </c>
      <c r="E115" s="460">
        <v>3</v>
      </c>
      <c r="F115" s="460">
        <v>4</v>
      </c>
      <c r="G115" s="460">
        <v>5</v>
      </c>
      <c r="H115" s="460">
        <v>6</v>
      </c>
      <c r="I115" s="460">
        <v>7</v>
      </c>
      <c r="J115" s="460">
        <v>8</v>
      </c>
      <c r="K115" s="460">
        <v>9</v>
      </c>
      <c r="L115" s="460">
        <v>10</v>
      </c>
      <c r="M115" s="460">
        <v>11</v>
      </c>
      <c r="N115" s="460">
        <v>12</v>
      </c>
    </row>
    <row r="116" spans="1:14" ht="15" hidden="1">
      <c r="A116" s="506" t="s">
        <v>0</v>
      </c>
      <c r="B116" s="427" t="s">
        <v>130</v>
      </c>
      <c r="C116" s="806">
        <f aca="true" t="shared" si="33" ref="C116:C121">SUM(D116,E116,H116:N116)</f>
        <v>2900779</v>
      </c>
      <c r="D116" s="814">
        <f>SUM(D117:D118)</f>
        <v>308871</v>
      </c>
      <c r="E116" s="814">
        <f aca="true" t="shared" si="34" ref="E116:J116">SUM(E117:E118)</f>
        <v>2520033</v>
      </c>
      <c r="F116" s="814">
        <f t="shared" si="34"/>
        <v>172046</v>
      </c>
      <c r="G116" s="814">
        <f t="shared" si="34"/>
        <v>2347987</v>
      </c>
      <c r="H116" s="814">
        <f t="shared" si="34"/>
        <v>0</v>
      </c>
      <c r="I116" s="814">
        <f t="shared" si="34"/>
        <v>71875</v>
      </c>
      <c r="J116" s="814">
        <f t="shared" si="34"/>
        <v>0</v>
      </c>
      <c r="K116" s="814">
        <f>SUM(K117:K118)</f>
        <v>0</v>
      </c>
      <c r="L116" s="814">
        <f>SUM(L117:L118)</f>
        <v>0</v>
      </c>
      <c r="M116" s="814">
        <f>SUM(M117:M118)</f>
        <v>0</v>
      </c>
      <c r="N116" s="814">
        <f>SUM(N117:N118)</f>
        <v>0</v>
      </c>
    </row>
    <row r="117" spans="1:14" ht="15" hidden="1">
      <c r="A117" s="507">
        <v>1</v>
      </c>
      <c r="B117" s="429" t="s">
        <v>131</v>
      </c>
      <c r="C117" s="811">
        <f t="shared" si="33"/>
        <v>2504766</v>
      </c>
      <c r="D117" s="898">
        <v>218254</v>
      </c>
      <c r="E117" s="816">
        <f>SUM(F117:G117)</f>
        <v>2257888</v>
      </c>
      <c r="F117" s="898">
        <v>147950</v>
      </c>
      <c r="G117" s="898">
        <v>2109938</v>
      </c>
      <c r="H117" s="898">
        <v>0</v>
      </c>
      <c r="I117" s="898">
        <v>28624</v>
      </c>
      <c r="J117" s="898">
        <v>0</v>
      </c>
      <c r="K117" s="898">
        <v>0</v>
      </c>
      <c r="L117" s="898">
        <v>0</v>
      </c>
      <c r="M117" s="841">
        <v>0</v>
      </c>
      <c r="N117" s="841">
        <v>0</v>
      </c>
    </row>
    <row r="118" spans="1:14" ht="15" hidden="1">
      <c r="A118" s="507">
        <v>2</v>
      </c>
      <c r="B118" s="429" t="s">
        <v>132</v>
      </c>
      <c r="C118" s="811">
        <f t="shared" si="33"/>
        <v>396013</v>
      </c>
      <c r="D118" s="898">
        <v>90617</v>
      </c>
      <c r="E118" s="816">
        <f>SUM(F118:G118)</f>
        <v>262145</v>
      </c>
      <c r="F118" s="898">
        <v>24096</v>
      </c>
      <c r="G118" s="898">
        <v>238049</v>
      </c>
      <c r="H118" s="898">
        <v>0</v>
      </c>
      <c r="I118" s="898">
        <v>43251</v>
      </c>
      <c r="J118" s="898">
        <v>0</v>
      </c>
      <c r="K118" s="898">
        <v>0</v>
      </c>
      <c r="L118" s="898">
        <v>0</v>
      </c>
      <c r="M118" s="841">
        <v>0</v>
      </c>
      <c r="N118" s="841">
        <v>0</v>
      </c>
    </row>
    <row r="119" spans="1:14" ht="15" hidden="1">
      <c r="A119" s="508" t="s">
        <v>1</v>
      </c>
      <c r="B119" s="394" t="s">
        <v>133</v>
      </c>
      <c r="C119" s="811">
        <f t="shared" si="33"/>
        <v>200</v>
      </c>
      <c r="D119" s="841"/>
      <c r="E119" s="816">
        <f>SUM(F119:G119)</f>
        <v>200</v>
      </c>
      <c r="F119" s="898">
        <v>200</v>
      </c>
      <c r="G119" s="898">
        <v>0</v>
      </c>
      <c r="H119" s="898">
        <v>0</v>
      </c>
      <c r="I119" s="898">
        <v>0</v>
      </c>
      <c r="J119" s="898">
        <v>0</v>
      </c>
      <c r="K119" s="898">
        <v>0</v>
      </c>
      <c r="L119" s="898">
        <v>0</v>
      </c>
      <c r="M119" s="841">
        <v>0</v>
      </c>
      <c r="N119" s="841">
        <v>0</v>
      </c>
    </row>
    <row r="120" spans="1:14" ht="15" hidden="1">
      <c r="A120" s="508" t="s">
        <v>9</v>
      </c>
      <c r="B120" s="394" t="s">
        <v>134</v>
      </c>
      <c r="C120" s="811">
        <f t="shared" si="33"/>
        <v>0</v>
      </c>
      <c r="D120" s="406"/>
      <c r="E120" s="816">
        <f>SUM(F120:G120)</f>
        <v>0</v>
      </c>
      <c r="F120" s="406"/>
      <c r="G120" s="406"/>
      <c r="H120" s="406"/>
      <c r="I120" s="406"/>
      <c r="J120" s="406"/>
      <c r="K120" s="406"/>
      <c r="L120" s="406"/>
      <c r="M120" s="406"/>
      <c r="N120" s="406"/>
    </row>
    <row r="121" spans="1:14" ht="15" hidden="1">
      <c r="A121" s="508" t="s">
        <v>135</v>
      </c>
      <c r="B121" s="394" t="s">
        <v>136</v>
      </c>
      <c r="C121" s="806">
        <f t="shared" si="33"/>
        <v>2900579</v>
      </c>
      <c r="D121" s="807">
        <f>D116-SUM(D119,D120)</f>
        <v>308871</v>
      </c>
      <c r="E121" s="807">
        <f aca="true" t="shared" si="35" ref="E121:N121">E116-SUM(E119,E120)</f>
        <v>2519833</v>
      </c>
      <c r="F121" s="807">
        <f t="shared" si="35"/>
        <v>171846</v>
      </c>
      <c r="G121" s="807">
        <f t="shared" si="35"/>
        <v>2347987</v>
      </c>
      <c r="H121" s="807">
        <f t="shared" si="35"/>
        <v>0</v>
      </c>
      <c r="I121" s="807">
        <f t="shared" si="35"/>
        <v>71875</v>
      </c>
      <c r="J121" s="807">
        <f t="shared" si="35"/>
        <v>0</v>
      </c>
      <c r="K121" s="807">
        <f t="shared" si="35"/>
        <v>0</v>
      </c>
      <c r="L121" s="807">
        <f t="shared" si="35"/>
        <v>0</v>
      </c>
      <c r="M121" s="807">
        <f t="shared" si="35"/>
        <v>0</v>
      </c>
      <c r="N121" s="807">
        <f t="shared" si="35"/>
        <v>0</v>
      </c>
    </row>
    <row r="122" spans="1:14" ht="15" hidden="1">
      <c r="A122" s="508" t="s">
        <v>51</v>
      </c>
      <c r="B122" s="430" t="s">
        <v>137</v>
      </c>
      <c r="C122" s="815">
        <f>SUM(C123:C130)</f>
        <v>645043</v>
      </c>
      <c r="D122" s="815">
        <f>SUM(D123:D130)</f>
        <v>203759</v>
      </c>
      <c r="E122" s="815">
        <f>SUM(E123:E130)</f>
        <v>397534</v>
      </c>
      <c r="F122" s="815">
        <f aca="true" t="shared" si="36" ref="F122:N122">SUM(F123:F130)</f>
        <v>64629</v>
      </c>
      <c r="G122" s="815">
        <f t="shared" si="36"/>
        <v>332905</v>
      </c>
      <c r="H122" s="815">
        <f t="shared" si="36"/>
        <v>0</v>
      </c>
      <c r="I122" s="815">
        <f t="shared" si="36"/>
        <v>43750</v>
      </c>
      <c r="J122" s="815">
        <f t="shared" si="36"/>
        <v>0</v>
      </c>
      <c r="K122" s="815">
        <f t="shared" si="36"/>
        <v>0</v>
      </c>
      <c r="L122" s="815">
        <f t="shared" si="36"/>
        <v>0</v>
      </c>
      <c r="M122" s="815">
        <f t="shared" si="36"/>
        <v>0</v>
      </c>
      <c r="N122" s="815">
        <f t="shared" si="36"/>
        <v>0</v>
      </c>
    </row>
    <row r="123" spans="1:14" ht="15" hidden="1">
      <c r="A123" s="507" t="s">
        <v>53</v>
      </c>
      <c r="B123" s="429" t="s">
        <v>138</v>
      </c>
      <c r="C123" s="811">
        <f>SUM(D123,E123,H123:N123)</f>
        <v>222444</v>
      </c>
      <c r="D123" s="841">
        <v>64870</v>
      </c>
      <c r="E123" s="816">
        <f aca="true" t="shared" si="37" ref="E123:E128">SUM(F123:G123)</f>
        <v>114224</v>
      </c>
      <c r="F123" s="841">
        <v>6511</v>
      </c>
      <c r="G123" s="841">
        <v>107713</v>
      </c>
      <c r="H123" s="841">
        <v>0</v>
      </c>
      <c r="I123" s="841">
        <v>43350</v>
      </c>
      <c r="J123" s="841">
        <v>0</v>
      </c>
      <c r="K123" s="841">
        <v>0</v>
      </c>
      <c r="L123" s="406">
        <v>0</v>
      </c>
      <c r="M123" s="406">
        <v>0</v>
      </c>
      <c r="N123" s="406">
        <v>0</v>
      </c>
    </row>
    <row r="124" spans="1:14" ht="15" hidden="1">
      <c r="A124" s="507" t="s">
        <v>54</v>
      </c>
      <c r="B124" s="429" t="s">
        <v>139</v>
      </c>
      <c r="C124" s="811">
        <f>SUM(D124,E124,H124:N124)</f>
        <v>162236</v>
      </c>
      <c r="D124" s="841">
        <v>7484</v>
      </c>
      <c r="E124" s="816">
        <f t="shared" si="37"/>
        <v>154752</v>
      </c>
      <c r="F124" s="841">
        <v>44945</v>
      </c>
      <c r="G124" s="841">
        <v>109807</v>
      </c>
      <c r="H124" s="841">
        <v>0</v>
      </c>
      <c r="I124" s="841">
        <v>0</v>
      </c>
      <c r="J124" s="841">
        <v>0</v>
      </c>
      <c r="K124" s="841">
        <v>0</v>
      </c>
      <c r="L124" s="406">
        <v>0</v>
      </c>
      <c r="M124" s="406">
        <v>0</v>
      </c>
      <c r="N124" s="406">
        <v>0</v>
      </c>
    </row>
    <row r="125" spans="1:14" ht="0.75" customHeight="1" hidden="1">
      <c r="A125" s="507" t="s">
        <v>140</v>
      </c>
      <c r="B125" s="429" t="s">
        <v>201</v>
      </c>
      <c r="C125" s="811">
        <f>SUM(D125,E125,H125:N125)</f>
        <v>11286</v>
      </c>
      <c r="D125" s="841">
        <v>0</v>
      </c>
      <c r="E125" s="816">
        <f t="shared" si="37"/>
        <v>11286</v>
      </c>
      <c r="F125" s="841">
        <v>7625</v>
      </c>
      <c r="G125" s="841">
        <v>3661</v>
      </c>
      <c r="H125" s="841">
        <v>0</v>
      </c>
      <c r="I125" s="841">
        <v>0</v>
      </c>
      <c r="J125" s="841">
        <v>0</v>
      </c>
      <c r="K125" s="841">
        <v>0</v>
      </c>
      <c r="L125" s="406">
        <v>0</v>
      </c>
      <c r="M125" s="406">
        <v>0</v>
      </c>
      <c r="N125" s="406">
        <v>0</v>
      </c>
    </row>
    <row r="126" spans="1:14" ht="15" hidden="1">
      <c r="A126" s="507" t="s">
        <v>142</v>
      </c>
      <c r="B126" s="429" t="s">
        <v>141</v>
      </c>
      <c r="C126" s="811">
        <f>D126+E126+H126+I126+J126+K126+L126+M126+N126</f>
        <v>181860</v>
      </c>
      <c r="D126" s="841">
        <v>68933</v>
      </c>
      <c r="E126" s="816">
        <f t="shared" si="37"/>
        <v>112677</v>
      </c>
      <c r="F126" s="841">
        <v>5548</v>
      </c>
      <c r="G126" s="841">
        <v>107129</v>
      </c>
      <c r="H126" s="841">
        <v>0</v>
      </c>
      <c r="I126" s="841">
        <v>250</v>
      </c>
      <c r="J126" s="841">
        <v>0</v>
      </c>
      <c r="K126" s="841">
        <v>0</v>
      </c>
      <c r="L126" s="406">
        <v>0</v>
      </c>
      <c r="M126" s="406">
        <v>0</v>
      </c>
      <c r="N126" s="406">
        <v>0</v>
      </c>
    </row>
    <row r="127" spans="1:14" ht="15" hidden="1">
      <c r="A127" s="507" t="s">
        <v>144</v>
      </c>
      <c r="B127" s="429" t="s">
        <v>143</v>
      </c>
      <c r="C127" s="812">
        <f>SUM(D127,E127,H127:N127)</f>
        <v>60792</v>
      </c>
      <c r="D127" s="841">
        <v>60792</v>
      </c>
      <c r="E127" s="820">
        <f t="shared" si="37"/>
        <v>0</v>
      </c>
      <c r="F127" s="841">
        <v>0</v>
      </c>
      <c r="G127" s="841">
        <v>0</v>
      </c>
      <c r="H127" s="841">
        <v>0</v>
      </c>
      <c r="I127" s="841">
        <v>0</v>
      </c>
      <c r="J127" s="841">
        <v>0</v>
      </c>
      <c r="K127" s="841">
        <v>0</v>
      </c>
      <c r="L127" s="406">
        <v>0</v>
      </c>
      <c r="M127" s="406">
        <v>0</v>
      </c>
      <c r="N127" s="406">
        <v>0</v>
      </c>
    </row>
    <row r="128" spans="1:14" ht="15" hidden="1">
      <c r="A128" s="507" t="s">
        <v>146</v>
      </c>
      <c r="B128" s="429" t="s">
        <v>145</v>
      </c>
      <c r="C128" s="811">
        <f>SUM(D128,E128,H128:N128)</f>
        <v>0</v>
      </c>
      <c r="D128" s="841">
        <v>0</v>
      </c>
      <c r="E128" s="816">
        <f t="shared" si="37"/>
        <v>0</v>
      </c>
      <c r="F128" s="841">
        <v>0</v>
      </c>
      <c r="G128" s="841">
        <v>0</v>
      </c>
      <c r="H128" s="841">
        <v>0</v>
      </c>
      <c r="I128" s="841">
        <v>0</v>
      </c>
      <c r="J128" s="841">
        <v>0</v>
      </c>
      <c r="K128" s="841">
        <v>0</v>
      </c>
      <c r="L128" s="406">
        <v>0</v>
      </c>
      <c r="M128" s="406">
        <v>0</v>
      </c>
      <c r="N128" s="406">
        <v>0</v>
      </c>
    </row>
    <row r="129" spans="1:14" ht="25.5" hidden="1">
      <c r="A129" s="507" t="s">
        <v>148</v>
      </c>
      <c r="B129" s="431" t="s">
        <v>147</v>
      </c>
      <c r="C129" s="811">
        <f>SUM(D129,E129,H129:N129)</f>
        <v>0</v>
      </c>
      <c r="D129" s="841">
        <v>0</v>
      </c>
      <c r="E129" s="816">
        <f>SUM(F129:G129)</f>
        <v>0</v>
      </c>
      <c r="F129" s="841">
        <v>0</v>
      </c>
      <c r="G129" s="841">
        <v>0</v>
      </c>
      <c r="H129" s="841">
        <v>0</v>
      </c>
      <c r="I129" s="841">
        <v>0</v>
      </c>
      <c r="J129" s="841">
        <v>0</v>
      </c>
      <c r="K129" s="841">
        <v>0</v>
      </c>
      <c r="L129" s="406">
        <v>0</v>
      </c>
      <c r="M129" s="406">
        <v>0</v>
      </c>
      <c r="N129" s="406">
        <v>0</v>
      </c>
    </row>
    <row r="130" spans="1:14" ht="15" hidden="1">
      <c r="A130" s="507" t="s">
        <v>185</v>
      </c>
      <c r="B130" s="429" t="s">
        <v>149</v>
      </c>
      <c r="C130" s="811">
        <f>SUM(D130,E130,H130:N130)</f>
        <v>6425</v>
      </c>
      <c r="D130" s="841">
        <v>1680</v>
      </c>
      <c r="E130" s="816">
        <f>SUM(F130:G130)</f>
        <v>4595</v>
      </c>
      <c r="F130" s="841">
        <v>0</v>
      </c>
      <c r="G130" s="841">
        <v>4595</v>
      </c>
      <c r="H130" s="841">
        <v>0</v>
      </c>
      <c r="I130" s="841">
        <v>150</v>
      </c>
      <c r="J130" s="841">
        <v>0</v>
      </c>
      <c r="K130" s="841">
        <v>0</v>
      </c>
      <c r="L130" s="406">
        <v>0</v>
      </c>
      <c r="M130" s="406">
        <v>0</v>
      </c>
      <c r="N130" s="406">
        <v>0</v>
      </c>
    </row>
    <row r="131" spans="1:14" ht="15" hidden="1">
      <c r="A131" s="508" t="s">
        <v>52</v>
      </c>
      <c r="B131" s="394" t="s">
        <v>150</v>
      </c>
      <c r="C131" s="806">
        <f>C121-C122</f>
        <v>2255536</v>
      </c>
      <c r="D131" s="806">
        <f>D121-D122</f>
        <v>105112</v>
      </c>
      <c r="E131" s="806">
        <f>E121-E122</f>
        <v>2122299</v>
      </c>
      <c r="F131" s="806">
        <f>F121-F122</f>
        <v>107217</v>
      </c>
      <c r="G131" s="806">
        <f>G121-G122</f>
        <v>2015082</v>
      </c>
      <c r="H131" s="806">
        <f aca="true" t="shared" si="38" ref="H131:N131">H121-H122</f>
        <v>0</v>
      </c>
      <c r="I131" s="806">
        <f t="shared" si="38"/>
        <v>28125</v>
      </c>
      <c r="J131" s="806">
        <f t="shared" si="38"/>
        <v>0</v>
      </c>
      <c r="K131" s="806">
        <f t="shared" si="38"/>
        <v>0</v>
      </c>
      <c r="L131" s="806">
        <f t="shared" si="38"/>
        <v>0</v>
      </c>
      <c r="M131" s="806">
        <f t="shared" si="38"/>
        <v>0</v>
      </c>
      <c r="N131" s="806">
        <f t="shared" si="38"/>
        <v>0</v>
      </c>
    </row>
    <row r="132" spans="1:14" ht="0.75" customHeight="1" hidden="1">
      <c r="A132" s="534" t="s">
        <v>540</v>
      </c>
      <c r="B132" s="463" t="s">
        <v>202</v>
      </c>
      <c r="C132" s="532">
        <f>(C123+C124+C125)/C122</f>
        <v>0.6138598512037182</v>
      </c>
      <c r="D132" s="533">
        <f aca="true" t="shared" si="39" ref="D132:N132">(D123+D124+D125)/D122</f>
        <v>0.35509597122090314</v>
      </c>
      <c r="E132" s="532">
        <f t="shared" si="39"/>
        <v>0.7050013332192969</v>
      </c>
      <c r="F132" s="533">
        <f t="shared" si="39"/>
        <v>0.914156183756518</v>
      </c>
      <c r="G132" s="533">
        <f t="shared" si="39"/>
        <v>0.6643967498235233</v>
      </c>
      <c r="H132" s="533" t="e">
        <f t="shared" si="39"/>
        <v>#DIV/0!</v>
      </c>
      <c r="I132" s="533">
        <f t="shared" si="39"/>
        <v>0.9908571428571429</v>
      </c>
      <c r="J132" s="533" t="e">
        <f t="shared" si="39"/>
        <v>#DIV/0!</v>
      </c>
      <c r="K132" s="533" t="e">
        <f t="shared" si="39"/>
        <v>#DIV/0!</v>
      </c>
      <c r="L132" s="533" t="e">
        <f t="shared" si="39"/>
        <v>#DIV/0!</v>
      </c>
      <c r="M132" s="533" t="e">
        <f t="shared" si="39"/>
        <v>#DIV/0!</v>
      </c>
      <c r="N132" s="533" t="e">
        <f t="shared" si="39"/>
        <v>#DIV/0!</v>
      </c>
    </row>
    <row r="133" ht="15" hidden="1"/>
    <row r="134" ht="15" hidden="1">
      <c r="B134" s="1020" t="s">
        <v>751</v>
      </c>
    </row>
    <row r="135" ht="15" hidden="1"/>
    <row r="136" spans="1:14" ht="2.25" customHeight="1" hidden="1">
      <c r="A136" s="1478" t="s">
        <v>68</v>
      </c>
      <c r="B136" s="1479"/>
      <c r="C136" s="1501" t="s">
        <v>37</v>
      </c>
      <c r="D136" s="1487" t="s">
        <v>336</v>
      </c>
      <c r="E136" s="1488"/>
      <c r="F136" s="1488"/>
      <c r="G136" s="1488"/>
      <c r="H136" s="1488"/>
      <c r="I136" s="1488"/>
      <c r="J136" s="1488"/>
      <c r="K136" s="1488"/>
      <c r="L136" s="1488"/>
      <c r="M136" s="1488"/>
      <c r="N136" s="1489"/>
    </row>
    <row r="137" spans="1:14" ht="15" hidden="1">
      <c r="A137" s="1480"/>
      <c r="B137" s="1481"/>
      <c r="C137" s="1501"/>
      <c r="D137" s="1474" t="s">
        <v>195</v>
      </c>
      <c r="E137" s="1498" t="s">
        <v>196</v>
      </c>
      <c r="F137" s="1499"/>
      <c r="G137" s="1500"/>
      <c r="H137" s="1474" t="s">
        <v>197</v>
      </c>
      <c r="I137" s="1474" t="s">
        <v>122</v>
      </c>
      <c r="J137" s="1474" t="s">
        <v>198</v>
      </c>
      <c r="K137" s="1474" t="s">
        <v>124</v>
      </c>
      <c r="L137" s="1474" t="s">
        <v>125</v>
      </c>
      <c r="M137" s="1474" t="s">
        <v>126</v>
      </c>
      <c r="N137" s="1516" t="s">
        <v>127</v>
      </c>
    </row>
    <row r="138" spans="1:14" ht="15" hidden="1">
      <c r="A138" s="1480"/>
      <c r="B138" s="1481"/>
      <c r="C138" s="1501"/>
      <c r="D138" s="1474"/>
      <c r="E138" s="1473" t="s">
        <v>36</v>
      </c>
      <c r="F138" s="1476" t="s">
        <v>7</v>
      </c>
      <c r="G138" s="1477"/>
      <c r="H138" s="1474"/>
      <c r="I138" s="1474"/>
      <c r="J138" s="1474"/>
      <c r="K138" s="1474"/>
      <c r="L138" s="1474"/>
      <c r="M138" s="1474"/>
      <c r="N138" s="1516"/>
    </row>
    <row r="139" spans="1:14" ht="15" hidden="1">
      <c r="A139" s="1482"/>
      <c r="B139" s="1483"/>
      <c r="C139" s="1501"/>
      <c r="D139" s="1475"/>
      <c r="E139" s="1475"/>
      <c r="F139" s="559" t="s">
        <v>199</v>
      </c>
      <c r="G139" s="560" t="s">
        <v>200</v>
      </c>
      <c r="H139" s="1475"/>
      <c r="I139" s="1475"/>
      <c r="J139" s="1475"/>
      <c r="K139" s="1475"/>
      <c r="L139" s="1475"/>
      <c r="M139" s="1475"/>
      <c r="N139" s="1516"/>
    </row>
    <row r="140" spans="1:14" ht="15.75" hidden="1">
      <c r="A140" s="1528" t="s">
        <v>39</v>
      </c>
      <c r="B140" s="1529"/>
      <c r="C140" s="460">
        <v>1</v>
      </c>
      <c r="D140" s="460">
        <v>2</v>
      </c>
      <c r="E140" s="460">
        <v>3</v>
      </c>
      <c r="F140" s="460">
        <v>4</v>
      </c>
      <c r="G140" s="460">
        <v>5</v>
      </c>
      <c r="H140" s="460">
        <v>6</v>
      </c>
      <c r="I140" s="460">
        <v>7</v>
      </c>
      <c r="J140" s="460">
        <v>8</v>
      </c>
      <c r="K140" s="460">
        <v>9</v>
      </c>
      <c r="L140" s="460">
        <v>10</v>
      </c>
      <c r="M140" s="460">
        <v>11</v>
      </c>
      <c r="N140" s="460">
        <v>12</v>
      </c>
    </row>
    <row r="141" spans="1:14" ht="15" hidden="1">
      <c r="A141" s="506" t="s">
        <v>0</v>
      </c>
      <c r="B141" s="427" t="s">
        <v>130</v>
      </c>
      <c r="C141" s="806">
        <f aca="true" t="shared" si="40" ref="C141:C146">SUM(D141,E141,H141:N141)</f>
        <v>936294</v>
      </c>
      <c r="D141" s="814">
        <f>SUM(D142:D143)</f>
        <v>85514</v>
      </c>
      <c r="E141" s="814">
        <f aca="true" t="shared" si="41" ref="E141:J141">SUM(E142:E143)</f>
        <v>536162</v>
      </c>
      <c r="F141" s="814">
        <f t="shared" si="41"/>
        <v>51387</v>
      </c>
      <c r="G141" s="814">
        <f t="shared" si="41"/>
        <v>484775</v>
      </c>
      <c r="H141" s="814">
        <f t="shared" si="41"/>
        <v>0</v>
      </c>
      <c r="I141" s="814">
        <f t="shared" si="41"/>
        <v>88825</v>
      </c>
      <c r="J141" s="814">
        <f t="shared" si="41"/>
        <v>161933</v>
      </c>
      <c r="K141" s="814">
        <f>SUM(K142:K143)</f>
        <v>0</v>
      </c>
      <c r="L141" s="814">
        <f>SUM(L142:L143)</f>
        <v>0</v>
      </c>
      <c r="M141" s="814">
        <f>SUM(M142:M143)</f>
        <v>0</v>
      </c>
      <c r="N141" s="814">
        <f>SUM(N142:N143)</f>
        <v>63860</v>
      </c>
    </row>
    <row r="142" spans="1:14" ht="15" hidden="1">
      <c r="A142" s="507">
        <v>1</v>
      </c>
      <c r="B142" s="429" t="s">
        <v>131</v>
      </c>
      <c r="C142" s="811">
        <f t="shared" si="40"/>
        <v>491238</v>
      </c>
      <c r="D142" s="1130">
        <v>34241</v>
      </c>
      <c r="E142" s="816">
        <f>SUM(F142:G142)</f>
        <v>227735</v>
      </c>
      <c r="F142" s="1145">
        <v>46887</v>
      </c>
      <c r="G142" s="1145">
        <v>180848</v>
      </c>
      <c r="H142" s="1145"/>
      <c r="I142" s="1145">
        <v>67329</v>
      </c>
      <c r="J142" s="1145">
        <v>161933</v>
      </c>
      <c r="K142" s="1145"/>
      <c r="L142" s="1145"/>
      <c r="M142" s="1145"/>
      <c r="N142" s="925">
        <v>0</v>
      </c>
    </row>
    <row r="143" spans="1:14" ht="15" hidden="1">
      <c r="A143" s="507">
        <v>2</v>
      </c>
      <c r="B143" s="429" t="s">
        <v>132</v>
      </c>
      <c r="C143" s="811">
        <f t="shared" si="40"/>
        <v>445056</v>
      </c>
      <c r="D143" s="1130">
        <v>51273</v>
      </c>
      <c r="E143" s="816">
        <f>SUM(F143:G143)</f>
        <v>308427</v>
      </c>
      <c r="F143" s="1145">
        <v>4500</v>
      </c>
      <c r="G143" s="1145">
        <v>303927</v>
      </c>
      <c r="H143" s="1145"/>
      <c r="I143" s="1145">
        <v>21496</v>
      </c>
      <c r="J143" s="1145"/>
      <c r="K143" s="1145">
        <v>0</v>
      </c>
      <c r="L143" s="1145"/>
      <c r="M143" s="1145"/>
      <c r="N143" s="925">
        <v>63860</v>
      </c>
    </row>
    <row r="144" spans="1:14" ht="15" hidden="1">
      <c r="A144" s="508" t="s">
        <v>1</v>
      </c>
      <c r="B144" s="394" t="s">
        <v>133</v>
      </c>
      <c r="C144" s="811">
        <f t="shared" si="40"/>
        <v>7000</v>
      </c>
      <c r="D144" s="925"/>
      <c r="E144" s="816">
        <f>SUM(F144:G144)</f>
        <v>7000</v>
      </c>
      <c r="F144" s="925"/>
      <c r="G144" s="925">
        <v>7000</v>
      </c>
      <c r="H144" s="925"/>
      <c r="I144" s="925"/>
      <c r="J144" s="925"/>
      <c r="K144" s="925"/>
      <c r="L144" s="925"/>
      <c r="M144" s="925"/>
      <c r="N144" s="925"/>
    </row>
    <row r="145" spans="1:14" ht="15" hidden="1">
      <c r="A145" s="508" t="s">
        <v>9</v>
      </c>
      <c r="B145" s="394" t="s">
        <v>134</v>
      </c>
      <c r="C145" s="811">
        <f t="shared" si="40"/>
        <v>0</v>
      </c>
      <c r="D145" s="925"/>
      <c r="E145" s="816">
        <f>SUM(F145:G145)</f>
        <v>0</v>
      </c>
      <c r="F145" s="925"/>
      <c r="G145" s="925"/>
      <c r="H145" s="925"/>
      <c r="I145" s="925"/>
      <c r="J145" s="925"/>
      <c r="K145" s="925"/>
      <c r="L145" s="925"/>
      <c r="M145" s="925"/>
      <c r="N145" s="925"/>
    </row>
    <row r="146" spans="1:14" ht="15" hidden="1">
      <c r="A146" s="508" t="s">
        <v>135</v>
      </c>
      <c r="B146" s="394" t="s">
        <v>136</v>
      </c>
      <c r="C146" s="806">
        <f t="shared" si="40"/>
        <v>929294</v>
      </c>
      <c r="D146" s="807">
        <f>D141-SUM(D144,D145)</f>
        <v>85514</v>
      </c>
      <c r="E146" s="807">
        <f aca="true" t="shared" si="42" ref="E146:N146">E141-SUM(E144,E145)</f>
        <v>529162</v>
      </c>
      <c r="F146" s="807">
        <f t="shared" si="42"/>
        <v>51387</v>
      </c>
      <c r="G146" s="807">
        <f t="shared" si="42"/>
        <v>477775</v>
      </c>
      <c r="H146" s="807">
        <f t="shared" si="42"/>
        <v>0</v>
      </c>
      <c r="I146" s="807">
        <f t="shared" si="42"/>
        <v>88825</v>
      </c>
      <c r="J146" s="807">
        <f t="shared" si="42"/>
        <v>161933</v>
      </c>
      <c r="K146" s="807">
        <f t="shared" si="42"/>
        <v>0</v>
      </c>
      <c r="L146" s="807">
        <f t="shared" si="42"/>
        <v>0</v>
      </c>
      <c r="M146" s="807">
        <f t="shared" si="42"/>
        <v>0</v>
      </c>
      <c r="N146" s="807">
        <f t="shared" si="42"/>
        <v>63860</v>
      </c>
    </row>
    <row r="147" spans="1:14" ht="15" hidden="1">
      <c r="A147" s="508" t="s">
        <v>51</v>
      </c>
      <c r="B147" s="430" t="s">
        <v>137</v>
      </c>
      <c r="C147" s="815">
        <f>SUM(C148:C155)</f>
        <v>695439</v>
      </c>
      <c r="D147" s="815">
        <f>SUM(D148:D155)</f>
        <v>64264</v>
      </c>
      <c r="E147" s="815">
        <f>SUM(E148:E155)</f>
        <v>317287</v>
      </c>
      <c r="F147" s="815">
        <f aca="true" t="shared" si="43" ref="F147:N147">SUM(F148:F155)</f>
        <v>4500</v>
      </c>
      <c r="G147" s="815">
        <f t="shared" si="43"/>
        <v>312787</v>
      </c>
      <c r="H147" s="815">
        <f t="shared" si="43"/>
        <v>0</v>
      </c>
      <c r="I147" s="815">
        <f t="shared" si="43"/>
        <v>88095</v>
      </c>
      <c r="J147" s="815">
        <f t="shared" si="43"/>
        <v>161933</v>
      </c>
      <c r="K147" s="815">
        <f t="shared" si="43"/>
        <v>0</v>
      </c>
      <c r="L147" s="815">
        <f t="shared" si="43"/>
        <v>0</v>
      </c>
      <c r="M147" s="815">
        <f t="shared" si="43"/>
        <v>0</v>
      </c>
      <c r="N147" s="815">
        <f t="shared" si="43"/>
        <v>63860</v>
      </c>
    </row>
    <row r="148" spans="1:14" ht="15" hidden="1">
      <c r="A148" s="507" t="s">
        <v>53</v>
      </c>
      <c r="B148" s="429" t="s">
        <v>138</v>
      </c>
      <c r="C148" s="811">
        <f>SUM(D148,E148,H148:N148)</f>
        <v>464202</v>
      </c>
      <c r="D148" s="1131">
        <v>60264</v>
      </c>
      <c r="E148" s="816">
        <f aca="true" t="shared" si="44" ref="E148:E153">SUM(F148:G148)</f>
        <v>304912</v>
      </c>
      <c r="F148" s="926">
        <v>3900</v>
      </c>
      <c r="G148" s="926">
        <v>301012</v>
      </c>
      <c r="H148" s="926">
        <v>0</v>
      </c>
      <c r="I148" s="926">
        <v>35166</v>
      </c>
      <c r="J148" s="926">
        <v>0</v>
      </c>
      <c r="K148" s="926"/>
      <c r="L148" s="926"/>
      <c r="M148" s="926"/>
      <c r="N148" s="926">
        <v>63860</v>
      </c>
    </row>
    <row r="149" spans="1:14" ht="15" hidden="1">
      <c r="A149" s="507" t="s">
        <v>54</v>
      </c>
      <c r="B149" s="429" t="s">
        <v>139</v>
      </c>
      <c r="C149" s="811">
        <f>SUM(D149,E149,H149:N149)</f>
        <v>0</v>
      </c>
      <c r="D149" s="1131"/>
      <c r="E149" s="816">
        <f t="shared" si="44"/>
        <v>0</v>
      </c>
      <c r="F149" s="926"/>
      <c r="G149" s="926"/>
      <c r="H149" s="926"/>
      <c r="I149" s="926"/>
      <c r="J149" s="926"/>
      <c r="K149" s="926"/>
      <c r="L149" s="926"/>
      <c r="M149" s="926"/>
      <c r="N149" s="926"/>
    </row>
    <row r="150" spans="1:14" ht="15" hidden="1">
      <c r="A150" s="507" t="s">
        <v>140</v>
      </c>
      <c r="B150" s="429" t="s">
        <v>201</v>
      </c>
      <c r="C150" s="811">
        <f>SUM(D150,E150,H150:N150)</f>
        <v>0</v>
      </c>
      <c r="D150" s="1131"/>
      <c r="E150" s="816">
        <f t="shared" si="44"/>
        <v>0</v>
      </c>
      <c r="F150" s="926"/>
      <c r="G150" s="926"/>
      <c r="H150" s="926"/>
      <c r="I150" s="926"/>
      <c r="J150" s="926"/>
      <c r="K150" s="926"/>
      <c r="L150" s="926"/>
      <c r="M150" s="926"/>
      <c r="N150" s="926"/>
    </row>
    <row r="151" spans="1:14" ht="15" hidden="1">
      <c r="A151" s="507" t="s">
        <v>142</v>
      </c>
      <c r="B151" s="429" t="s">
        <v>141</v>
      </c>
      <c r="C151" s="811">
        <f>D151+E151+H151+I151+J151+K151+L151+M151+N151</f>
        <v>231237</v>
      </c>
      <c r="D151" s="1131">
        <v>4000</v>
      </c>
      <c r="E151" s="816">
        <f t="shared" si="44"/>
        <v>12375</v>
      </c>
      <c r="F151" s="926">
        <v>600</v>
      </c>
      <c r="G151" s="926">
        <v>11775</v>
      </c>
      <c r="H151" s="926"/>
      <c r="I151" s="926">
        <v>52929</v>
      </c>
      <c r="J151" s="926">
        <v>161933</v>
      </c>
      <c r="K151" s="926">
        <v>0</v>
      </c>
      <c r="L151" s="926"/>
      <c r="M151" s="926"/>
      <c r="N151" s="926">
        <v>0</v>
      </c>
    </row>
    <row r="152" spans="1:14" ht="15" hidden="1">
      <c r="A152" s="507" t="s">
        <v>144</v>
      </c>
      <c r="B152" s="429" t="s">
        <v>143</v>
      </c>
      <c r="C152" s="812">
        <f>SUM(D152,E152,H152:N152)</f>
        <v>0</v>
      </c>
      <c r="D152" s="1131"/>
      <c r="E152" s="820">
        <f t="shared" si="44"/>
        <v>0</v>
      </c>
      <c r="F152" s="1131"/>
      <c r="G152" s="1131"/>
      <c r="H152" s="1131"/>
      <c r="I152" s="1131"/>
      <c r="J152" s="1131"/>
      <c r="K152" s="1131"/>
      <c r="L152" s="1131"/>
      <c r="M152" s="1131"/>
      <c r="N152" s="1131"/>
    </row>
    <row r="153" spans="1:14" ht="15" hidden="1">
      <c r="A153" s="507" t="s">
        <v>146</v>
      </c>
      <c r="B153" s="429" t="s">
        <v>145</v>
      </c>
      <c r="C153" s="811">
        <f>SUM(D153,E153,H153:N153)</f>
        <v>0</v>
      </c>
      <c r="D153" s="1131"/>
      <c r="E153" s="816">
        <f t="shared" si="44"/>
        <v>0</v>
      </c>
      <c r="F153" s="926"/>
      <c r="G153" s="926"/>
      <c r="H153" s="926"/>
      <c r="I153" s="926"/>
      <c r="J153" s="926"/>
      <c r="K153" s="926"/>
      <c r="L153" s="926"/>
      <c r="M153" s="926"/>
      <c r="N153" s="926"/>
    </row>
    <row r="154" spans="1:14" ht="25.5" hidden="1">
      <c r="A154" s="507" t="s">
        <v>148</v>
      </c>
      <c r="B154" s="431" t="s">
        <v>147</v>
      </c>
      <c r="C154" s="811">
        <f>SUM(D154,E154,H154:N154)</f>
        <v>0</v>
      </c>
      <c r="D154" s="926"/>
      <c r="E154" s="816">
        <f>SUM(F154:G154)</f>
        <v>0</v>
      </c>
      <c r="F154" s="926"/>
      <c r="G154" s="926"/>
      <c r="H154" s="926"/>
      <c r="I154" s="926"/>
      <c r="J154" s="926"/>
      <c r="K154" s="926"/>
      <c r="L154" s="926"/>
      <c r="M154" s="926"/>
      <c r="N154" s="926"/>
    </row>
    <row r="155" spans="1:14" ht="15" hidden="1">
      <c r="A155" s="507" t="s">
        <v>185</v>
      </c>
      <c r="B155" s="429" t="s">
        <v>149</v>
      </c>
      <c r="C155" s="811">
        <f>SUM(D155,E155,H155:N155)</f>
        <v>0</v>
      </c>
      <c r="D155" s="926"/>
      <c r="E155" s="816">
        <f>SUM(F155:G155)</f>
        <v>0</v>
      </c>
      <c r="F155" s="926"/>
      <c r="G155" s="926"/>
      <c r="H155" s="926"/>
      <c r="I155" s="926"/>
      <c r="J155" s="926"/>
      <c r="K155" s="926"/>
      <c r="L155" s="926"/>
      <c r="M155" s="926"/>
      <c r="N155" s="926"/>
    </row>
    <row r="156" spans="1:14" ht="15" hidden="1">
      <c r="A156" s="508" t="s">
        <v>52</v>
      </c>
      <c r="B156" s="394" t="s">
        <v>150</v>
      </c>
      <c r="C156" s="806">
        <f>C146-C147</f>
        <v>233855</v>
      </c>
      <c r="D156" s="806">
        <f>D146-D147</f>
        <v>21250</v>
      </c>
      <c r="E156" s="806">
        <f>E146-E147</f>
        <v>211875</v>
      </c>
      <c r="F156" s="806">
        <f>F146-F147</f>
        <v>46887</v>
      </c>
      <c r="G156" s="806">
        <f>G146-G147</f>
        <v>164988</v>
      </c>
      <c r="H156" s="806">
        <f aca="true" t="shared" si="45" ref="H156:N156">H146-H147</f>
        <v>0</v>
      </c>
      <c r="I156" s="806">
        <f t="shared" si="45"/>
        <v>730</v>
      </c>
      <c r="J156" s="806">
        <f t="shared" si="45"/>
        <v>0</v>
      </c>
      <c r="K156" s="806">
        <f t="shared" si="45"/>
        <v>0</v>
      </c>
      <c r="L156" s="806">
        <f t="shared" si="45"/>
        <v>0</v>
      </c>
      <c r="M156" s="806">
        <f t="shared" si="45"/>
        <v>0</v>
      </c>
      <c r="N156" s="806">
        <f t="shared" si="45"/>
        <v>0</v>
      </c>
    </row>
    <row r="157" spans="1:14" ht="24" hidden="1">
      <c r="A157" s="534" t="s">
        <v>540</v>
      </c>
      <c r="B157" s="463" t="s">
        <v>202</v>
      </c>
      <c r="C157" s="532">
        <f>(C148+C149+C150)/C147</f>
        <v>0.6674949204746929</v>
      </c>
      <c r="D157" s="533">
        <f aca="true" t="shared" si="46" ref="D157:N157">(D148+D149+D150)/D147</f>
        <v>0.937756753392257</v>
      </c>
      <c r="E157" s="532">
        <f t="shared" si="46"/>
        <v>0.9609974565614097</v>
      </c>
      <c r="F157" s="533">
        <f t="shared" si="46"/>
        <v>0.8666666666666667</v>
      </c>
      <c r="G157" s="533">
        <f t="shared" si="46"/>
        <v>0.9623545735596428</v>
      </c>
      <c r="H157" s="533" t="e">
        <f t="shared" si="46"/>
        <v>#DIV/0!</v>
      </c>
      <c r="I157" s="533">
        <f t="shared" si="46"/>
        <v>0.3991827004937851</v>
      </c>
      <c r="J157" s="533">
        <f t="shared" si="46"/>
        <v>0</v>
      </c>
      <c r="K157" s="533" t="e">
        <f t="shared" si="46"/>
        <v>#DIV/0!</v>
      </c>
      <c r="L157" s="533" t="e">
        <f t="shared" si="46"/>
        <v>#DIV/0!</v>
      </c>
      <c r="M157" s="533" t="e">
        <f t="shared" si="46"/>
        <v>#DIV/0!</v>
      </c>
      <c r="N157" s="533">
        <f t="shared" si="46"/>
        <v>1</v>
      </c>
    </row>
    <row r="158" ht="15" hidden="1"/>
    <row r="159" ht="15" hidden="1">
      <c r="B159" s="1020" t="s">
        <v>753</v>
      </c>
    </row>
    <row r="160" spans="1:14" ht="15" hidden="1">
      <c r="A160" s="1478" t="s">
        <v>68</v>
      </c>
      <c r="B160" s="1479"/>
      <c r="C160" s="1484" t="s">
        <v>37</v>
      </c>
      <c r="D160" s="1487" t="s">
        <v>336</v>
      </c>
      <c r="E160" s="1488"/>
      <c r="F160" s="1488"/>
      <c r="G160" s="1488"/>
      <c r="H160" s="1488"/>
      <c r="I160" s="1488"/>
      <c r="J160" s="1488"/>
      <c r="K160" s="1488"/>
      <c r="L160" s="1488"/>
      <c r="M160" s="1488"/>
      <c r="N160" s="1489"/>
    </row>
    <row r="161" spans="1:14" ht="15" hidden="1">
      <c r="A161" s="1480"/>
      <c r="B161" s="1481"/>
      <c r="C161" s="1485"/>
      <c r="D161" s="1473" t="s">
        <v>195</v>
      </c>
      <c r="E161" s="1476" t="s">
        <v>196</v>
      </c>
      <c r="F161" s="1493"/>
      <c r="G161" s="1477"/>
      <c r="H161" s="1473" t="s">
        <v>197</v>
      </c>
      <c r="I161" s="1473" t="s">
        <v>122</v>
      </c>
      <c r="J161" s="1473" t="s">
        <v>198</v>
      </c>
      <c r="K161" s="1473" t="s">
        <v>124</v>
      </c>
      <c r="L161" s="1473" t="s">
        <v>125</v>
      </c>
      <c r="M161" s="1473" t="s">
        <v>126</v>
      </c>
      <c r="N161" s="1473" t="s">
        <v>127</v>
      </c>
    </row>
    <row r="162" spans="1:14" ht="15" hidden="1">
      <c r="A162" s="1480"/>
      <c r="B162" s="1481"/>
      <c r="C162" s="1485"/>
      <c r="D162" s="1474"/>
      <c r="E162" s="1473" t="s">
        <v>36</v>
      </c>
      <c r="F162" s="1476" t="s">
        <v>7</v>
      </c>
      <c r="G162" s="1477"/>
      <c r="H162" s="1474"/>
      <c r="I162" s="1474"/>
      <c r="J162" s="1474"/>
      <c r="K162" s="1474"/>
      <c r="L162" s="1474"/>
      <c r="M162" s="1474"/>
      <c r="N162" s="1474"/>
    </row>
    <row r="163" spans="1:14" ht="15" hidden="1">
      <c r="A163" s="1482"/>
      <c r="B163" s="1483"/>
      <c r="C163" s="1486"/>
      <c r="D163" s="1475"/>
      <c r="E163" s="1475"/>
      <c r="F163" s="559" t="s">
        <v>199</v>
      </c>
      <c r="G163" s="560" t="s">
        <v>200</v>
      </c>
      <c r="H163" s="1475"/>
      <c r="I163" s="1475"/>
      <c r="J163" s="1475"/>
      <c r="K163" s="1475"/>
      <c r="L163" s="1475"/>
      <c r="M163" s="1475"/>
      <c r="N163" s="1475"/>
    </row>
    <row r="164" spans="1:14" ht="15.75" hidden="1">
      <c r="A164" s="1528" t="s">
        <v>39</v>
      </c>
      <c r="B164" s="1529"/>
      <c r="C164" s="460">
        <v>1</v>
      </c>
      <c r="D164" s="460">
        <v>2</v>
      </c>
      <c r="E164" s="460">
        <v>3</v>
      </c>
      <c r="F164" s="460">
        <v>4</v>
      </c>
      <c r="G164" s="460">
        <v>5</v>
      </c>
      <c r="H164" s="460">
        <v>6</v>
      </c>
      <c r="I164" s="460">
        <v>7</v>
      </c>
      <c r="J164" s="460">
        <v>8</v>
      </c>
      <c r="K164" s="460">
        <v>9</v>
      </c>
      <c r="L164" s="460">
        <v>10</v>
      </c>
      <c r="M164" s="460">
        <v>11</v>
      </c>
      <c r="N164" s="460">
        <v>12</v>
      </c>
    </row>
    <row r="165" spans="1:14" ht="15" hidden="1">
      <c r="A165" s="506" t="s">
        <v>0</v>
      </c>
      <c r="B165" s="427" t="s">
        <v>130</v>
      </c>
      <c r="C165" s="806">
        <f aca="true" t="shared" si="47" ref="C165:C170">SUM(D165,E165,H165:N165)</f>
        <v>1012005</v>
      </c>
      <c r="D165" s="814">
        <f>SUM(D166:D167)</f>
        <v>80909</v>
      </c>
      <c r="E165" s="814">
        <f aca="true" t="shared" si="48" ref="E165:J165">SUM(E166:E167)</f>
        <v>804372</v>
      </c>
      <c r="F165" s="814">
        <f t="shared" si="48"/>
        <v>228231</v>
      </c>
      <c r="G165" s="814">
        <f t="shared" si="48"/>
        <v>576141</v>
      </c>
      <c r="H165" s="814">
        <f t="shared" si="48"/>
        <v>0</v>
      </c>
      <c r="I165" s="814">
        <f t="shared" si="48"/>
        <v>24263</v>
      </c>
      <c r="J165" s="814">
        <f t="shared" si="48"/>
        <v>10394</v>
      </c>
      <c r="K165" s="814">
        <f>SUM(K166:K167)</f>
        <v>0</v>
      </c>
      <c r="L165" s="814">
        <f>SUM(L166:L167)</f>
        <v>0</v>
      </c>
      <c r="M165" s="814">
        <f>SUM(M166:M167)</f>
        <v>0</v>
      </c>
      <c r="N165" s="814">
        <f>SUM(N166:N167)</f>
        <v>92067</v>
      </c>
    </row>
    <row r="166" spans="1:14" ht="15.75" hidden="1">
      <c r="A166" s="507">
        <v>1</v>
      </c>
      <c r="B166" s="429" t="s">
        <v>131</v>
      </c>
      <c r="C166" s="811">
        <f t="shared" si="47"/>
        <v>769164</v>
      </c>
      <c r="D166" s="822">
        <f>1851+9925+44800</f>
        <v>56576</v>
      </c>
      <c r="E166" s="816">
        <f>SUM(F166:G166)</f>
        <v>699076</v>
      </c>
      <c r="F166" s="907">
        <f>20624+40582+164135</f>
        <v>225341</v>
      </c>
      <c r="G166" s="907">
        <f>77721+319569+76445</f>
        <v>473735</v>
      </c>
      <c r="H166" s="907"/>
      <c r="I166" s="907">
        <f>250+1314+0</f>
        <v>1564</v>
      </c>
      <c r="J166" s="907">
        <v>10394</v>
      </c>
      <c r="K166" s="907"/>
      <c r="L166" s="907"/>
      <c r="M166" s="907"/>
      <c r="N166" s="907">
        <f>53+1501+0</f>
        <v>1554</v>
      </c>
    </row>
    <row r="167" spans="1:14" ht="15.75" hidden="1">
      <c r="A167" s="507">
        <v>2</v>
      </c>
      <c r="B167" s="429" t="s">
        <v>132</v>
      </c>
      <c r="C167" s="811">
        <f t="shared" si="47"/>
        <v>242841</v>
      </c>
      <c r="D167" s="818">
        <f>972+15232+8129</f>
        <v>24333</v>
      </c>
      <c r="E167" s="816">
        <f>SUM(F167:G167)</f>
        <v>105296</v>
      </c>
      <c r="F167" s="906">
        <f>0+1000+1890</f>
        <v>2890</v>
      </c>
      <c r="G167" s="906">
        <f>25686+50667+26053</f>
        <v>102406</v>
      </c>
      <c r="H167" s="906"/>
      <c r="I167" s="906">
        <f>3100+5100+14499</f>
        <v>22699</v>
      </c>
      <c r="J167" s="906"/>
      <c r="K167" s="906"/>
      <c r="L167" s="906"/>
      <c r="M167" s="906"/>
      <c r="N167" s="906">
        <f>2362+20009+68142</f>
        <v>90513</v>
      </c>
    </row>
    <row r="168" spans="1:14" ht="15.75" hidden="1">
      <c r="A168" s="508" t="s">
        <v>1</v>
      </c>
      <c r="B168" s="394" t="s">
        <v>133</v>
      </c>
      <c r="C168" s="811">
        <f t="shared" si="47"/>
        <v>5000</v>
      </c>
      <c r="D168" s="1141">
        <v>0</v>
      </c>
      <c r="E168" s="816">
        <f>SUM(F168:G168)</f>
        <v>5000</v>
      </c>
      <c r="F168" s="1142"/>
      <c r="G168" s="1143">
        <f>5000</f>
        <v>5000</v>
      </c>
      <c r="H168" s="1143"/>
      <c r="I168" s="1143">
        <v>0</v>
      </c>
      <c r="J168" s="1143"/>
      <c r="K168" s="1143"/>
      <c r="L168" s="1143"/>
      <c r="M168" s="1143"/>
      <c r="N168" s="1143">
        <v>0</v>
      </c>
    </row>
    <row r="169" spans="1:14" ht="15" hidden="1">
      <c r="A169" s="508" t="s">
        <v>9</v>
      </c>
      <c r="B169" s="394" t="s">
        <v>134</v>
      </c>
      <c r="C169" s="811">
        <f t="shared" si="47"/>
        <v>0</v>
      </c>
      <c r="D169" s="406"/>
      <c r="E169" s="816">
        <f>SUM(F169:G169)</f>
        <v>0</v>
      </c>
      <c r="F169" s="406"/>
      <c r="G169" s="406"/>
      <c r="H169" s="406"/>
      <c r="I169" s="406"/>
      <c r="J169" s="406"/>
      <c r="K169" s="406"/>
      <c r="L169" s="406"/>
      <c r="M169" s="406"/>
      <c r="N169" s="406"/>
    </row>
    <row r="170" spans="1:14" ht="15" hidden="1">
      <c r="A170" s="508" t="s">
        <v>135</v>
      </c>
      <c r="B170" s="394" t="s">
        <v>136</v>
      </c>
      <c r="C170" s="806">
        <f t="shared" si="47"/>
        <v>1007005</v>
      </c>
      <c r="D170" s="807">
        <f>D165-SUM(D168,D169)</f>
        <v>80909</v>
      </c>
      <c r="E170" s="807">
        <f aca="true" t="shared" si="49" ref="E170:N170">E165-SUM(E168,E169)</f>
        <v>799372</v>
      </c>
      <c r="F170" s="807">
        <f t="shared" si="49"/>
        <v>228231</v>
      </c>
      <c r="G170" s="807">
        <f t="shared" si="49"/>
        <v>571141</v>
      </c>
      <c r="H170" s="807">
        <f t="shared" si="49"/>
        <v>0</v>
      </c>
      <c r="I170" s="807">
        <f t="shared" si="49"/>
        <v>24263</v>
      </c>
      <c r="J170" s="807">
        <f t="shared" si="49"/>
        <v>10394</v>
      </c>
      <c r="K170" s="807">
        <f t="shared" si="49"/>
        <v>0</v>
      </c>
      <c r="L170" s="807">
        <f t="shared" si="49"/>
        <v>0</v>
      </c>
      <c r="M170" s="807">
        <f t="shared" si="49"/>
        <v>0</v>
      </c>
      <c r="N170" s="807">
        <f t="shared" si="49"/>
        <v>92067</v>
      </c>
    </row>
    <row r="171" spans="1:14" ht="15" hidden="1">
      <c r="A171" s="508" t="s">
        <v>51</v>
      </c>
      <c r="B171" s="430" t="s">
        <v>137</v>
      </c>
      <c r="C171" s="815">
        <f>SUM(C172:C179)</f>
        <v>295744</v>
      </c>
      <c r="D171" s="815">
        <f>SUM(D172:D179)</f>
        <v>41887</v>
      </c>
      <c r="E171" s="815">
        <f>SUM(E172:E179)</f>
        <v>139141</v>
      </c>
      <c r="F171" s="815">
        <f aca="true" t="shared" si="50" ref="F171:N171">SUM(F172:F179)</f>
        <v>28341</v>
      </c>
      <c r="G171" s="815">
        <f t="shared" si="50"/>
        <v>110800</v>
      </c>
      <c r="H171" s="815">
        <f t="shared" si="50"/>
        <v>0</v>
      </c>
      <c r="I171" s="815">
        <f t="shared" si="50"/>
        <v>22649</v>
      </c>
      <c r="J171" s="815">
        <f t="shared" si="50"/>
        <v>0</v>
      </c>
      <c r="K171" s="815">
        <f t="shared" si="50"/>
        <v>0</v>
      </c>
      <c r="L171" s="815">
        <f t="shared" si="50"/>
        <v>0</v>
      </c>
      <c r="M171" s="815">
        <f t="shared" si="50"/>
        <v>0</v>
      </c>
      <c r="N171" s="815">
        <f t="shared" si="50"/>
        <v>92067</v>
      </c>
    </row>
    <row r="172" spans="1:14" ht="15.75" hidden="1">
      <c r="A172" s="507" t="s">
        <v>53</v>
      </c>
      <c r="B172" s="429" t="s">
        <v>138</v>
      </c>
      <c r="C172" s="811">
        <f>SUM(D172,E172,H172:N172)</f>
        <v>222625</v>
      </c>
      <c r="D172" s="817">
        <f>300+5426+16006</f>
        <v>21732</v>
      </c>
      <c r="E172" s="816">
        <f aca="true" t="shared" si="51" ref="E172:E177">SUM(F172:G172)</f>
        <v>93536</v>
      </c>
      <c r="F172" s="908">
        <f>0+1000+7642</f>
        <v>8642</v>
      </c>
      <c r="G172" s="908">
        <f>26967+41121+16806</f>
        <v>84894</v>
      </c>
      <c r="H172" s="908"/>
      <c r="I172" s="908">
        <f>3100+4700+9211</f>
        <v>17011</v>
      </c>
      <c r="J172" s="908"/>
      <c r="K172" s="908"/>
      <c r="L172" s="908"/>
      <c r="M172" s="908"/>
      <c r="N172" s="908">
        <f>2062+21358+66926</f>
        <v>90346</v>
      </c>
    </row>
    <row r="173" spans="1:14" ht="15.75" hidden="1">
      <c r="A173" s="507" t="s">
        <v>54</v>
      </c>
      <c r="B173" s="429" t="s">
        <v>139</v>
      </c>
      <c r="C173" s="811">
        <f>SUM(D173,E173,H173:N173)</f>
        <v>21383</v>
      </c>
      <c r="D173" s="818"/>
      <c r="E173" s="816">
        <f t="shared" si="51"/>
        <v>21383</v>
      </c>
      <c r="F173" s="906">
        <f>0+4950+9837</f>
        <v>14787</v>
      </c>
      <c r="G173" s="906">
        <v>6596</v>
      </c>
      <c r="H173" s="906"/>
      <c r="I173" s="906"/>
      <c r="J173" s="906"/>
      <c r="K173" s="906"/>
      <c r="L173" s="906"/>
      <c r="M173" s="906"/>
      <c r="N173" s="906"/>
    </row>
    <row r="174" spans="1:14" ht="15.75" hidden="1">
      <c r="A174" s="507" t="s">
        <v>140</v>
      </c>
      <c r="B174" s="429" t="s">
        <v>201</v>
      </c>
      <c r="C174" s="811">
        <f>SUM(D174,E174,H174:N174)</f>
        <v>14002</v>
      </c>
      <c r="D174" s="818"/>
      <c r="E174" s="816">
        <f t="shared" si="51"/>
        <v>14002</v>
      </c>
      <c r="F174" s="906">
        <f>4912</f>
        <v>4912</v>
      </c>
      <c r="G174" s="906">
        <v>9090</v>
      </c>
      <c r="H174" s="906"/>
      <c r="I174" s="906"/>
      <c r="J174" s="906"/>
      <c r="K174" s="906"/>
      <c r="L174" s="906"/>
      <c r="M174" s="906"/>
      <c r="N174" s="906"/>
    </row>
    <row r="175" spans="1:14" ht="15.75" hidden="1">
      <c r="A175" s="507" t="s">
        <v>142</v>
      </c>
      <c r="B175" s="429" t="s">
        <v>141</v>
      </c>
      <c r="C175" s="811">
        <f>D175+E175+H175+I175+J175+K175+L175+M175+N175</f>
        <v>37734</v>
      </c>
      <c r="D175" s="818">
        <f>672+10407+9076</f>
        <v>20155</v>
      </c>
      <c r="E175" s="816">
        <f t="shared" si="51"/>
        <v>10220</v>
      </c>
      <c r="F175" s="906"/>
      <c r="G175" s="906">
        <f>4120+5700+400</f>
        <v>10220</v>
      </c>
      <c r="H175" s="906"/>
      <c r="I175" s="906">
        <f>250+100+5288</f>
        <v>5638</v>
      </c>
      <c r="J175" s="907">
        <v>0</v>
      </c>
      <c r="K175" s="906"/>
      <c r="L175" s="906"/>
      <c r="M175" s="906"/>
      <c r="N175" s="906">
        <f>353+152+1216</f>
        <v>1721</v>
      </c>
    </row>
    <row r="176" spans="1:14" ht="1.5" customHeight="1" hidden="1">
      <c r="A176" s="507" t="s">
        <v>144</v>
      </c>
      <c r="B176" s="429" t="s">
        <v>143</v>
      </c>
      <c r="C176" s="812">
        <f>SUM(D176,E176,H176:N176)</f>
        <v>0</v>
      </c>
      <c r="D176" s="818"/>
      <c r="E176" s="820">
        <f t="shared" si="51"/>
        <v>0</v>
      </c>
      <c r="F176" s="906"/>
      <c r="G176" s="906"/>
      <c r="H176" s="906"/>
      <c r="I176" s="906"/>
      <c r="J176" s="906"/>
      <c r="K176" s="906"/>
      <c r="L176" s="906"/>
      <c r="M176" s="906"/>
      <c r="N176" s="906">
        <v>0</v>
      </c>
    </row>
    <row r="177" spans="1:14" ht="15.75" hidden="1">
      <c r="A177" s="507" t="s">
        <v>146</v>
      </c>
      <c r="B177" s="429" t="s">
        <v>145</v>
      </c>
      <c r="C177" s="811">
        <f>SUM(D177,E177,H177:N177)</f>
        <v>0</v>
      </c>
      <c r="D177" s="818"/>
      <c r="E177" s="816">
        <f t="shared" si="51"/>
        <v>0</v>
      </c>
      <c r="F177" s="819"/>
      <c r="G177" s="819"/>
      <c r="H177" s="819"/>
      <c r="I177" s="819"/>
      <c r="J177" s="819"/>
      <c r="K177" s="819"/>
      <c r="L177" s="819"/>
      <c r="M177" s="819"/>
      <c r="N177" s="819"/>
    </row>
    <row r="178" spans="1:14" ht="25.5" hidden="1">
      <c r="A178" s="507" t="s">
        <v>148</v>
      </c>
      <c r="B178" s="431" t="s">
        <v>147</v>
      </c>
      <c r="C178" s="811">
        <f>SUM(D178,E178,H178:N178)</f>
        <v>0</v>
      </c>
      <c r="D178" s="818"/>
      <c r="E178" s="816">
        <f>SUM(F178:G178)</f>
        <v>0</v>
      </c>
      <c r="F178" s="819"/>
      <c r="G178" s="819"/>
      <c r="H178" s="819"/>
      <c r="I178" s="819"/>
      <c r="J178" s="819"/>
      <c r="K178" s="819"/>
      <c r="L178" s="819"/>
      <c r="M178" s="819"/>
      <c r="N178" s="819"/>
    </row>
    <row r="179" spans="1:14" ht="15.75" hidden="1">
      <c r="A179" s="507" t="s">
        <v>185</v>
      </c>
      <c r="B179" s="429" t="s">
        <v>149</v>
      </c>
      <c r="C179" s="811">
        <f>SUM(D179,E179,H179:N179)</f>
        <v>0</v>
      </c>
      <c r="D179" s="818">
        <v>0</v>
      </c>
      <c r="E179" s="816">
        <f>SUM(F179:G179)</f>
        <v>0</v>
      </c>
      <c r="F179" s="819">
        <f>0+0+0</f>
        <v>0</v>
      </c>
      <c r="G179" s="819"/>
      <c r="H179" s="819"/>
      <c r="I179" s="819"/>
      <c r="J179" s="819"/>
      <c r="K179" s="819"/>
      <c r="L179" s="819"/>
      <c r="M179" s="819"/>
      <c r="N179" s="819"/>
    </row>
    <row r="180" spans="1:14" ht="15" hidden="1">
      <c r="A180" s="508" t="s">
        <v>52</v>
      </c>
      <c r="B180" s="394" t="s">
        <v>150</v>
      </c>
      <c r="C180" s="806">
        <f>C170-C171</f>
        <v>711261</v>
      </c>
      <c r="D180" s="806">
        <f>D170-D171</f>
        <v>39022</v>
      </c>
      <c r="E180" s="806">
        <f>E170-E171</f>
        <v>660231</v>
      </c>
      <c r="F180" s="806">
        <f>F170-F171</f>
        <v>199890</v>
      </c>
      <c r="G180" s="806">
        <f>G170-G171</f>
        <v>460341</v>
      </c>
      <c r="H180" s="806">
        <f aca="true" t="shared" si="52" ref="H180:N180">H170-H171</f>
        <v>0</v>
      </c>
      <c r="I180" s="806">
        <f t="shared" si="52"/>
        <v>1614</v>
      </c>
      <c r="J180" s="806">
        <f t="shared" si="52"/>
        <v>10394</v>
      </c>
      <c r="K180" s="806">
        <f t="shared" si="52"/>
        <v>0</v>
      </c>
      <c r="L180" s="806">
        <f t="shared" si="52"/>
        <v>0</v>
      </c>
      <c r="M180" s="806">
        <f t="shared" si="52"/>
        <v>0</v>
      </c>
      <c r="N180" s="806">
        <f t="shared" si="52"/>
        <v>0</v>
      </c>
    </row>
    <row r="181" spans="1:14" ht="24" hidden="1">
      <c r="A181" s="534" t="s">
        <v>540</v>
      </c>
      <c r="B181" s="463" t="s">
        <v>202</v>
      </c>
      <c r="C181" s="532">
        <f>(C172+C173+C174)/C171</f>
        <v>0.8724099220947846</v>
      </c>
      <c r="D181" s="533">
        <f aca="true" t="shared" si="53" ref="D181:N181">(D172+D173+D174)/D171</f>
        <v>0.5188244562752167</v>
      </c>
      <c r="E181" s="532">
        <f t="shared" si="53"/>
        <v>0.9265493276604307</v>
      </c>
      <c r="F181" s="533">
        <f t="shared" si="53"/>
        <v>1</v>
      </c>
      <c r="G181" s="533">
        <f t="shared" si="53"/>
        <v>0.9077617328519856</v>
      </c>
      <c r="H181" s="533" t="e">
        <f t="shared" si="53"/>
        <v>#DIV/0!</v>
      </c>
      <c r="I181" s="533">
        <f t="shared" si="53"/>
        <v>0.7510706874475694</v>
      </c>
      <c r="J181" s="533" t="e">
        <f t="shared" si="53"/>
        <v>#DIV/0!</v>
      </c>
      <c r="K181" s="533" t="e">
        <f t="shared" si="53"/>
        <v>#DIV/0!</v>
      </c>
      <c r="L181" s="533" t="e">
        <f t="shared" si="53"/>
        <v>#DIV/0!</v>
      </c>
      <c r="M181" s="533" t="e">
        <f t="shared" si="53"/>
        <v>#DIV/0!</v>
      </c>
      <c r="N181" s="533">
        <f t="shared" si="53"/>
        <v>0.9813070915746142</v>
      </c>
    </row>
    <row r="182" ht="15" hidden="1"/>
    <row r="183" ht="15" hidden="1">
      <c r="B183" s="388" t="s">
        <v>754</v>
      </c>
    </row>
    <row r="184" spans="1:14" ht="15" hidden="1">
      <c r="A184" s="1478" t="s">
        <v>68</v>
      </c>
      <c r="B184" s="1479"/>
      <c r="C184" s="1501" t="s">
        <v>37</v>
      </c>
      <c r="D184" s="1487" t="s">
        <v>336</v>
      </c>
      <c r="E184" s="1488"/>
      <c r="F184" s="1488"/>
      <c r="G184" s="1488"/>
      <c r="H184" s="1488"/>
      <c r="I184" s="1488"/>
      <c r="J184" s="1488"/>
      <c r="K184" s="1488"/>
      <c r="L184" s="1488"/>
      <c r="M184" s="1488"/>
      <c r="N184" s="1489"/>
    </row>
    <row r="185" spans="1:14" ht="15" hidden="1">
      <c r="A185" s="1480"/>
      <c r="B185" s="1481"/>
      <c r="C185" s="1501"/>
      <c r="D185" s="1474" t="s">
        <v>195</v>
      </c>
      <c r="E185" s="1498" t="s">
        <v>196</v>
      </c>
      <c r="F185" s="1499"/>
      <c r="G185" s="1500"/>
      <c r="H185" s="1474" t="s">
        <v>197</v>
      </c>
      <c r="I185" s="1474" t="s">
        <v>122</v>
      </c>
      <c r="J185" s="1474" t="s">
        <v>198</v>
      </c>
      <c r="K185" s="1474" t="s">
        <v>124</v>
      </c>
      <c r="L185" s="1474" t="s">
        <v>125</v>
      </c>
      <c r="M185" s="1474" t="s">
        <v>126</v>
      </c>
      <c r="N185" s="1516" t="s">
        <v>127</v>
      </c>
    </row>
    <row r="186" spans="1:14" ht="15" hidden="1">
      <c r="A186" s="1480"/>
      <c r="B186" s="1481"/>
      <c r="C186" s="1501"/>
      <c r="D186" s="1474"/>
      <c r="E186" s="1473" t="s">
        <v>36</v>
      </c>
      <c r="F186" s="1476" t="s">
        <v>7</v>
      </c>
      <c r="G186" s="1477"/>
      <c r="H186" s="1474"/>
      <c r="I186" s="1474"/>
      <c r="J186" s="1474"/>
      <c r="K186" s="1474"/>
      <c r="L186" s="1474"/>
      <c r="M186" s="1474"/>
      <c r="N186" s="1516"/>
    </row>
    <row r="187" spans="1:14" ht="15" hidden="1">
      <c r="A187" s="1482"/>
      <c r="B187" s="1483"/>
      <c r="C187" s="1501"/>
      <c r="D187" s="1475"/>
      <c r="E187" s="1475"/>
      <c r="F187" s="559" t="s">
        <v>199</v>
      </c>
      <c r="G187" s="560" t="s">
        <v>200</v>
      </c>
      <c r="H187" s="1475"/>
      <c r="I187" s="1475"/>
      <c r="J187" s="1475"/>
      <c r="K187" s="1475"/>
      <c r="L187" s="1475"/>
      <c r="M187" s="1475"/>
      <c r="N187" s="1516"/>
    </row>
    <row r="188" spans="1:14" ht="15.75" hidden="1">
      <c r="A188" s="1528" t="s">
        <v>39</v>
      </c>
      <c r="B188" s="1529"/>
      <c r="C188" s="460">
        <v>1</v>
      </c>
      <c r="D188" s="460">
        <v>2</v>
      </c>
      <c r="E188" s="460">
        <v>3</v>
      </c>
      <c r="F188" s="460">
        <v>4</v>
      </c>
      <c r="G188" s="460">
        <v>5</v>
      </c>
      <c r="H188" s="460">
        <v>6</v>
      </c>
      <c r="I188" s="460">
        <v>7</v>
      </c>
      <c r="J188" s="460">
        <v>8</v>
      </c>
      <c r="K188" s="460">
        <v>9</v>
      </c>
      <c r="L188" s="460">
        <v>10</v>
      </c>
      <c r="M188" s="460">
        <v>11</v>
      </c>
      <c r="N188" s="460">
        <v>12</v>
      </c>
    </row>
    <row r="189" spans="1:14" ht="15" hidden="1">
      <c r="A189" s="506" t="s">
        <v>0</v>
      </c>
      <c r="B189" s="427" t="s">
        <v>130</v>
      </c>
      <c r="C189" s="806">
        <f aca="true" t="shared" si="54" ref="C189:C194">SUM(D189,E189,H189:N189)</f>
        <v>121809</v>
      </c>
      <c r="D189" s="814">
        <f>SUM(D190:D191)</f>
        <v>13553</v>
      </c>
      <c r="E189" s="814">
        <f aca="true" t="shared" si="55" ref="E189:J189">SUM(E190:E191)</f>
        <v>101406</v>
      </c>
      <c r="F189" s="814">
        <f t="shared" si="55"/>
        <v>26676</v>
      </c>
      <c r="G189" s="814">
        <f t="shared" si="55"/>
        <v>74730</v>
      </c>
      <c r="H189" s="814">
        <f t="shared" si="55"/>
        <v>0</v>
      </c>
      <c r="I189" s="814">
        <f t="shared" si="55"/>
        <v>6650</v>
      </c>
      <c r="J189" s="814">
        <f t="shared" si="55"/>
        <v>0</v>
      </c>
      <c r="K189" s="814">
        <f>SUM(K190:K191)</f>
        <v>0</v>
      </c>
      <c r="L189" s="814">
        <f>SUM(L190:L191)</f>
        <v>0</v>
      </c>
      <c r="M189" s="814">
        <f>SUM(M190:M191)</f>
        <v>0</v>
      </c>
      <c r="N189" s="814">
        <f>SUM(N190:N191)</f>
        <v>200</v>
      </c>
    </row>
    <row r="190" spans="1:14" ht="15.75" hidden="1">
      <c r="A190" s="507">
        <v>1</v>
      </c>
      <c r="B190" s="429" t="s">
        <v>131</v>
      </c>
      <c r="C190" s="811">
        <f t="shared" si="54"/>
        <v>75041</v>
      </c>
      <c r="D190" s="911">
        <v>13553</v>
      </c>
      <c r="E190" s="816">
        <f>SUM(F190:G190)</f>
        <v>61288</v>
      </c>
      <c r="F190" s="912">
        <v>24581</v>
      </c>
      <c r="G190" s="912">
        <v>36707</v>
      </c>
      <c r="H190" s="912"/>
      <c r="I190" s="912">
        <v>0</v>
      </c>
      <c r="J190" s="912"/>
      <c r="K190" s="912"/>
      <c r="L190" s="912"/>
      <c r="M190" s="912"/>
      <c r="N190" s="912">
        <v>200</v>
      </c>
    </row>
    <row r="191" spans="1:14" ht="15.75" hidden="1">
      <c r="A191" s="507">
        <v>2</v>
      </c>
      <c r="B191" s="429" t="s">
        <v>132</v>
      </c>
      <c r="C191" s="811">
        <f t="shared" si="54"/>
        <v>46768</v>
      </c>
      <c r="D191" s="818"/>
      <c r="E191" s="816">
        <f>SUM(F191:G191)</f>
        <v>40118</v>
      </c>
      <c r="F191" s="906">
        <v>2095</v>
      </c>
      <c r="G191" s="906">
        <v>38023</v>
      </c>
      <c r="H191" s="906"/>
      <c r="I191" s="906">
        <v>6650</v>
      </c>
      <c r="J191" s="906"/>
      <c r="K191" s="906"/>
      <c r="L191" s="906"/>
      <c r="M191" s="906"/>
      <c r="N191" s="906">
        <v>0</v>
      </c>
    </row>
    <row r="192" spans="1:14" ht="15.75" hidden="1">
      <c r="A192" s="508" t="s">
        <v>1</v>
      </c>
      <c r="B192" s="394" t="s">
        <v>133</v>
      </c>
      <c r="C192" s="811">
        <f t="shared" si="54"/>
        <v>0</v>
      </c>
      <c r="D192" s="818"/>
      <c r="E192" s="816">
        <f>SUM(F192:G192)</f>
        <v>0</v>
      </c>
      <c r="F192" s="906"/>
      <c r="G192" s="906"/>
      <c r="H192" s="906"/>
      <c r="I192" s="906"/>
      <c r="J192" s="906"/>
      <c r="K192" s="906"/>
      <c r="L192" s="906"/>
      <c r="M192" s="906"/>
      <c r="N192" s="906"/>
    </row>
    <row r="193" spans="1:14" ht="15" hidden="1">
      <c r="A193" s="508" t="s">
        <v>9</v>
      </c>
      <c r="B193" s="394" t="s">
        <v>134</v>
      </c>
      <c r="C193" s="811">
        <f t="shared" si="54"/>
        <v>0</v>
      </c>
      <c r="D193" s="406"/>
      <c r="E193" s="816">
        <f>SUM(F193:G193)</f>
        <v>0</v>
      </c>
      <c r="F193" s="406"/>
      <c r="G193" s="406"/>
      <c r="H193" s="406"/>
      <c r="I193" s="406"/>
      <c r="J193" s="406"/>
      <c r="K193" s="406"/>
      <c r="L193" s="406"/>
      <c r="M193" s="406"/>
      <c r="N193" s="406"/>
    </row>
    <row r="194" spans="1:14" ht="15" hidden="1">
      <c r="A194" s="508" t="s">
        <v>135</v>
      </c>
      <c r="B194" s="394" t="s">
        <v>136</v>
      </c>
      <c r="C194" s="806">
        <f t="shared" si="54"/>
        <v>121809</v>
      </c>
      <c r="D194" s="807">
        <f>D189-SUM(D192,D193)</f>
        <v>13553</v>
      </c>
      <c r="E194" s="807">
        <f aca="true" t="shared" si="56" ref="E194:N194">E189-SUM(E192,E193)</f>
        <v>101406</v>
      </c>
      <c r="F194" s="807">
        <f t="shared" si="56"/>
        <v>26676</v>
      </c>
      <c r="G194" s="807">
        <f t="shared" si="56"/>
        <v>74730</v>
      </c>
      <c r="H194" s="807">
        <f t="shared" si="56"/>
        <v>0</v>
      </c>
      <c r="I194" s="807">
        <f t="shared" si="56"/>
        <v>6650</v>
      </c>
      <c r="J194" s="807">
        <f t="shared" si="56"/>
        <v>0</v>
      </c>
      <c r="K194" s="807">
        <f t="shared" si="56"/>
        <v>0</v>
      </c>
      <c r="L194" s="807">
        <f t="shared" si="56"/>
        <v>0</v>
      </c>
      <c r="M194" s="807">
        <f t="shared" si="56"/>
        <v>0</v>
      </c>
      <c r="N194" s="807">
        <f t="shared" si="56"/>
        <v>200</v>
      </c>
    </row>
    <row r="195" spans="1:14" ht="15" hidden="1">
      <c r="A195" s="508" t="s">
        <v>51</v>
      </c>
      <c r="B195" s="430" t="s">
        <v>137</v>
      </c>
      <c r="C195" s="815">
        <f>SUM(C196:C203)</f>
        <v>25844</v>
      </c>
      <c r="D195" s="815">
        <f>SUM(D196:D203)</f>
        <v>0</v>
      </c>
      <c r="E195" s="815">
        <f>SUM(E196:E203)</f>
        <v>19194</v>
      </c>
      <c r="F195" s="815">
        <f aca="true" t="shared" si="57" ref="F195:N195">SUM(F196:F203)</f>
        <v>2095</v>
      </c>
      <c r="G195" s="815">
        <f t="shared" si="57"/>
        <v>17099</v>
      </c>
      <c r="H195" s="815">
        <f t="shared" si="57"/>
        <v>0</v>
      </c>
      <c r="I195" s="815">
        <f t="shared" si="57"/>
        <v>6650</v>
      </c>
      <c r="J195" s="815">
        <f t="shared" si="57"/>
        <v>0</v>
      </c>
      <c r="K195" s="815">
        <f t="shared" si="57"/>
        <v>0</v>
      </c>
      <c r="L195" s="815">
        <f t="shared" si="57"/>
        <v>0</v>
      </c>
      <c r="M195" s="815">
        <f t="shared" si="57"/>
        <v>0</v>
      </c>
      <c r="N195" s="815">
        <f t="shared" si="57"/>
        <v>0</v>
      </c>
    </row>
    <row r="196" spans="1:14" ht="15.75" hidden="1">
      <c r="A196" s="507" t="s">
        <v>53</v>
      </c>
      <c r="B196" s="429" t="s">
        <v>138</v>
      </c>
      <c r="C196" s="811">
        <f>SUM(D196,E196,H196:N196)</f>
        <v>23444</v>
      </c>
      <c r="D196" s="817"/>
      <c r="E196" s="816">
        <f aca="true" t="shared" si="58" ref="E196:E201">SUM(F196:G196)</f>
        <v>16994</v>
      </c>
      <c r="F196" s="908">
        <v>2095</v>
      </c>
      <c r="G196" s="908">
        <v>14899</v>
      </c>
      <c r="H196" s="908"/>
      <c r="I196" s="908">
        <v>6450</v>
      </c>
      <c r="J196" s="908"/>
      <c r="K196" s="908"/>
      <c r="L196" s="908"/>
      <c r="M196" s="908"/>
      <c r="N196" s="908">
        <v>0</v>
      </c>
    </row>
    <row r="197" spans="1:14" ht="15.75" hidden="1">
      <c r="A197" s="507" t="s">
        <v>54</v>
      </c>
      <c r="B197" s="429" t="s">
        <v>139</v>
      </c>
      <c r="C197" s="811">
        <f>SUM(D197,E197,H197:N197)</f>
        <v>1700</v>
      </c>
      <c r="D197" s="818"/>
      <c r="E197" s="816">
        <f t="shared" si="58"/>
        <v>1700</v>
      </c>
      <c r="F197" s="906">
        <v>0</v>
      </c>
      <c r="G197" s="906">
        <v>1700</v>
      </c>
      <c r="H197" s="906"/>
      <c r="I197" s="906">
        <v>0</v>
      </c>
      <c r="J197" s="906"/>
      <c r="K197" s="906"/>
      <c r="L197" s="906"/>
      <c r="M197" s="906"/>
      <c r="N197" s="906"/>
    </row>
    <row r="198" spans="1:14" ht="15.75" hidden="1">
      <c r="A198" s="507" t="s">
        <v>140</v>
      </c>
      <c r="B198" s="429" t="s">
        <v>201</v>
      </c>
      <c r="C198" s="811">
        <f>SUM(D198,E198,H198:N198)</f>
        <v>0</v>
      </c>
      <c r="D198" s="818"/>
      <c r="E198" s="816">
        <f t="shared" si="58"/>
        <v>0</v>
      </c>
      <c r="F198" s="906">
        <v>0</v>
      </c>
      <c r="G198" s="906">
        <v>0</v>
      </c>
      <c r="H198" s="906"/>
      <c r="I198" s="906"/>
      <c r="J198" s="906"/>
      <c r="K198" s="906"/>
      <c r="L198" s="906"/>
      <c r="M198" s="906"/>
      <c r="N198" s="906"/>
    </row>
    <row r="199" spans="1:14" ht="15.75" hidden="1">
      <c r="A199" s="507" t="s">
        <v>142</v>
      </c>
      <c r="B199" s="429" t="s">
        <v>141</v>
      </c>
      <c r="C199" s="811">
        <f>D199+E199+H199+I199+J199+K199+L199+M199+N199</f>
        <v>700</v>
      </c>
      <c r="D199" s="818">
        <v>0</v>
      </c>
      <c r="E199" s="816">
        <f t="shared" si="58"/>
        <v>500</v>
      </c>
      <c r="F199" s="906">
        <v>0</v>
      </c>
      <c r="G199" s="906">
        <v>500</v>
      </c>
      <c r="H199" s="906"/>
      <c r="I199" s="906">
        <v>200</v>
      </c>
      <c r="J199" s="906"/>
      <c r="K199" s="906"/>
      <c r="L199" s="906"/>
      <c r="M199" s="906"/>
      <c r="N199" s="906"/>
    </row>
    <row r="200" spans="1:14" ht="15.75" hidden="1">
      <c r="A200" s="507" t="s">
        <v>144</v>
      </c>
      <c r="B200" s="429" t="s">
        <v>143</v>
      </c>
      <c r="C200" s="812">
        <f>SUM(D200,E200,H200:N200)</f>
        <v>0</v>
      </c>
      <c r="D200" s="818"/>
      <c r="E200" s="820">
        <f t="shared" si="58"/>
        <v>0</v>
      </c>
      <c r="F200" s="821">
        <f>0</f>
        <v>0</v>
      </c>
      <c r="G200" s="821">
        <f>0</f>
        <v>0</v>
      </c>
      <c r="H200" s="821"/>
      <c r="I200" s="821"/>
      <c r="J200" s="821"/>
      <c r="K200" s="821"/>
      <c r="L200" s="821"/>
      <c r="M200" s="821"/>
      <c r="N200" s="821"/>
    </row>
    <row r="201" spans="1:14" ht="15.75" hidden="1">
      <c r="A201" s="507" t="s">
        <v>146</v>
      </c>
      <c r="B201" s="429" t="s">
        <v>145</v>
      </c>
      <c r="C201" s="811">
        <f>SUM(D201,E201,H201:N201)</f>
        <v>0</v>
      </c>
      <c r="D201" s="818"/>
      <c r="E201" s="816">
        <f t="shared" si="58"/>
        <v>0</v>
      </c>
      <c r="F201" s="819"/>
      <c r="G201" s="819"/>
      <c r="H201" s="819"/>
      <c r="I201" s="819"/>
      <c r="J201" s="819"/>
      <c r="K201" s="819"/>
      <c r="L201" s="819"/>
      <c r="M201" s="819"/>
      <c r="N201" s="819"/>
    </row>
    <row r="202" spans="1:14" ht="25.5" hidden="1">
      <c r="A202" s="507" t="s">
        <v>148</v>
      </c>
      <c r="B202" s="431" t="s">
        <v>147</v>
      </c>
      <c r="C202" s="811">
        <f>SUM(D202,E202,H202:N202)</f>
        <v>0</v>
      </c>
      <c r="D202" s="818"/>
      <c r="E202" s="816">
        <f>SUM(F202:G202)</f>
        <v>0</v>
      </c>
      <c r="F202" s="819"/>
      <c r="G202" s="819"/>
      <c r="H202" s="819"/>
      <c r="I202" s="819"/>
      <c r="J202" s="819"/>
      <c r="K202" s="819"/>
      <c r="L202" s="819"/>
      <c r="M202" s="819"/>
      <c r="N202" s="819"/>
    </row>
    <row r="203" spans="1:14" ht="15.75" hidden="1">
      <c r="A203" s="507" t="s">
        <v>185</v>
      </c>
      <c r="B203" s="429" t="s">
        <v>149</v>
      </c>
      <c r="C203" s="811">
        <f>SUM(D203,E203,H203:N203)</f>
        <v>0</v>
      </c>
      <c r="D203" s="818"/>
      <c r="E203" s="816">
        <f>SUM(F203:G203)</f>
        <v>0</v>
      </c>
      <c r="F203" s="819">
        <f>0+0+0</f>
        <v>0</v>
      </c>
      <c r="G203" s="819"/>
      <c r="H203" s="819"/>
      <c r="I203" s="819"/>
      <c r="J203" s="819"/>
      <c r="K203" s="819"/>
      <c r="L203" s="819"/>
      <c r="M203" s="819"/>
      <c r="N203" s="819"/>
    </row>
    <row r="204" spans="1:14" ht="15" hidden="1">
      <c r="A204" s="508" t="s">
        <v>52</v>
      </c>
      <c r="B204" s="394" t="s">
        <v>150</v>
      </c>
      <c r="C204" s="806">
        <f>C194-C195</f>
        <v>95965</v>
      </c>
      <c r="D204" s="806">
        <f>D194-D195</f>
        <v>13553</v>
      </c>
      <c r="E204" s="806">
        <f>E194-E195</f>
        <v>82212</v>
      </c>
      <c r="F204" s="806">
        <f>F194-F195</f>
        <v>24581</v>
      </c>
      <c r="G204" s="806">
        <f>G194-G195</f>
        <v>57631</v>
      </c>
      <c r="H204" s="806">
        <f aca="true" t="shared" si="59" ref="H204:N204">H194-H195</f>
        <v>0</v>
      </c>
      <c r="I204" s="806">
        <f t="shared" si="59"/>
        <v>0</v>
      </c>
      <c r="J204" s="806">
        <f t="shared" si="59"/>
        <v>0</v>
      </c>
      <c r="K204" s="806">
        <f t="shared" si="59"/>
        <v>0</v>
      </c>
      <c r="L204" s="806">
        <f t="shared" si="59"/>
        <v>0</v>
      </c>
      <c r="M204" s="806">
        <f t="shared" si="59"/>
        <v>0</v>
      </c>
      <c r="N204" s="806">
        <f t="shared" si="59"/>
        <v>200</v>
      </c>
    </row>
    <row r="205" spans="1:14" ht="24" hidden="1">
      <c r="A205" s="534" t="s">
        <v>540</v>
      </c>
      <c r="B205" s="463" t="s">
        <v>202</v>
      </c>
      <c r="C205" s="532">
        <f>(C196+C197+C198)/C195</f>
        <v>0.9729144095341279</v>
      </c>
      <c r="D205" s="533" t="e">
        <f aca="true" t="shared" si="60" ref="D205:N205">(D196+D197+D198)/D195</f>
        <v>#DIV/0!</v>
      </c>
      <c r="E205" s="532">
        <f t="shared" si="60"/>
        <v>0.9739501927685735</v>
      </c>
      <c r="F205" s="533">
        <f t="shared" si="60"/>
        <v>1</v>
      </c>
      <c r="G205" s="533">
        <f t="shared" si="60"/>
        <v>0.9707585238902859</v>
      </c>
      <c r="H205" s="533" t="e">
        <f t="shared" si="60"/>
        <v>#DIV/0!</v>
      </c>
      <c r="I205" s="533">
        <f t="shared" si="60"/>
        <v>0.9699248120300752</v>
      </c>
      <c r="J205" s="533" t="e">
        <f t="shared" si="60"/>
        <v>#DIV/0!</v>
      </c>
      <c r="K205" s="533" t="e">
        <f t="shared" si="60"/>
        <v>#DIV/0!</v>
      </c>
      <c r="L205" s="533" t="e">
        <f t="shared" si="60"/>
        <v>#DIV/0!</v>
      </c>
      <c r="M205" s="533" t="e">
        <f t="shared" si="60"/>
        <v>#DIV/0!</v>
      </c>
      <c r="N205" s="533" t="e">
        <f t="shared" si="60"/>
        <v>#DIV/0!</v>
      </c>
    </row>
    <row r="206" ht="15" hidden="1"/>
    <row r="207" ht="15" hidden="1">
      <c r="B207" s="388" t="s">
        <v>743</v>
      </c>
    </row>
    <row r="208" spans="1:14" ht="0.75" customHeight="1" hidden="1">
      <c r="A208" s="1478" t="s">
        <v>68</v>
      </c>
      <c r="B208" s="1479"/>
      <c r="C208" s="1501" t="s">
        <v>37</v>
      </c>
      <c r="D208" s="1487" t="s">
        <v>336</v>
      </c>
      <c r="E208" s="1488"/>
      <c r="F208" s="1488"/>
      <c r="G208" s="1488"/>
      <c r="H208" s="1488"/>
      <c r="I208" s="1488"/>
      <c r="J208" s="1488"/>
      <c r="K208" s="1488"/>
      <c r="L208" s="1488"/>
      <c r="M208" s="1488"/>
      <c r="N208" s="1489"/>
    </row>
    <row r="209" spans="1:14" ht="15" hidden="1">
      <c r="A209" s="1480"/>
      <c r="B209" s="1481"/>
      <c r="C209" s="1501"/>
      <c r="D209" s="1474" t="s">
        <v>195</v>
      </c>
      <c r="E209" s="1498" t="s">
        <v>196</v>
      </c>
      <c r="F209" s="1499"/>
      <c r="G209" s="1500"/>
      <c r="H209" s="1474" t="s">
        <v>197</v>
      </c>
      <c r="I209" s="1474" t="s">
        <v>122</v>
      </c>
      <c r="J209" s="1474" t="s">
        <v>198</v>
      </c>
      <c r="K209" s="1474" t="s">
        <v>124</v>
      </c>
      <c r="L209" s="1474" t="s">
        <v>125</v>
      </c>
      <c r="M209" s="1474" t="s">
        <v>126</v>
      </c>
      <c r="N209" s="1516" t="s">
        <v>127</v>
      </c>
    </row>
    <row r="210" spans="1:14" ht="15" hidden="1">
      <c r="A210" s="1480"/>
      <c r="B210" s="1481"/>
      <c r="C210" s="1501"/>
      <c r="D210" s="1474"/>
      <c r="E210" s="1473" t="s">
        <v>36</v>
      </c>
      <c r="F210" s="1476" t="s">
        <v>7</v>
      </c>
      <c r="G210" s="1477"/>
      <c r="H210" s="1474"/>
      <c r="I210" s="1474"/>
      <c r="J210" s="1474"/>
      <c r="K210" s="1474"/>
      <c r="L210" s="1474"/>
      <c r="M210" s="1474"/>
      <c r="N210" s="1516"/>
    </row>
    <row r="211" spans="1:14" ht="15" hidden="1">
      <c r="A211" s="1482"/>
      <c r="B211" s="1483"/>
      <c r="C211" s="1501"/>
      <c r="D211" s="1475"/>
      <c r="E211" s="1475"/>
      <c r="F211" s="559" t="s">
        <v>199</v>
      </c>
      <c r="G211" s="560" t="s">
        <v>200</v>
      </c>
      <c r="H211" s="1475"/>
      <c r="I211" s="1475"/>
      <c r="J211" s="1475"/>
      <c r="K211" s="1475"/>
      <c r="L211" s="1475"/>
      <c r="M211" s="1475"/>
      <c r="N211" s="1516"/>
    </row>
    <row r="212" spans="1:14" ht="15.75" hidden="1">
      <c r="A212" s="1528" t="s">
        <v>39</v>
      </c>
      <c r="B212" s="1529"/>
      <c r="C212" s="460">
        <v>1</v>
      </c>
      <c r="D212" s="460">
        <v>2</v>
      </c>
      <c r="E212" s="460">
        <v>3</v>
      </c>
      <c r="F212" s="460">
        <v>4</v>
      </c>
      <c r="G212" s="460">
        <v>5</v>
      </c>
      <c r="H212" s="460">
        <v>6</v>
      </c>
      <c r="I212" s="460">
        <v>7</v>
      </c>
      <c r="J212" s="460">
        <v>8</v>
      </c>
      <c r="K212" s="460">
        <v>9</v>
      </c>
      <c r="L212" s="460">
        <v>10</v>
      </c>
      <c r="M212" s="460">
        <v>11</v>
      </c>
      <c r="N212" s="460">
        <v>12</v>
      </c>
    </row>
    <row r="213" spans="1:14" ht="15" hidden="1">
      <c r="A213" s="506" t="s">
        <v>0</v>
      </c>
      <c r="B213" s="427" t="s">
        <v>130</v>
      </c>
      <c r="C213" s="806">
        <f aca="true" t="shared" si="61" ref="C213:C218">SUM(D213,E213,H213:N213)</f>
        <v>100831</v>
      </c>
      <c r="D213" s="814">
        <f>SUM(D214:D215)</f>
        <v>73139</v>
      </c>
      <c r="E213" s="814">
        <f aca="true" t="shared" si="62" ref="E213:J213">SUM(E214:E215)</f>
        <v>18940</v>
      </c>
      <c r="F213" s="814">
        <f t="shared" si="62"/>
        <v>0</v>
      </c>
      <c r="G213" s="814">
        <f t="shared" si="62"/>
        <v>18940</v>
      </c>
      <c r="H213" s="814">
        <f t="shared" si="62"/>
        <v>0</v>
      </c>
      <c r="I213" s="814">
        <f t="shared" si="62"/>
        <v>800</v>
      </c>
      <c r="J213" s="814">
        <f t="shared" si="62"/>
        <v>0</v>
      </c>
      <c r="K213" s="814">
        <f>SUM(K214:K215)</f>
        <v>0</v>
      </c>
      <c r="L213" s="814">
        <f>SUM(L214:L215)</f>
        <v>0</v>
      </c>
      <c r="M213" s="814">
        <f>SUM(M214:M215)</f>
        <v>0</v>
      </c>
      <c r="N213" s="814">
        <f>SUM(N214:N215)</f>
        <v>7952</v>
      </c>
    </row>
    <row r="214" spans="1:14" ht="15.75" hidden="1">
      <c r="A214" s="507">
        <v>1</v>
      </c>
      <c r="B214" s="429" t="s">
        <v>131</v>
      </c>
      <c r="C214" s="811">
        <f t="shared" si="61"/>
        <v>21290</v>
      </c>
      <c r="D214" s="924">
        <v>2950</v>
      </c>
      <c r="E214" s="816">
        <f>SUM(F214:G214)</f>
        <v>18340</v>
      </c>
      <c r="F214" s="924"/>
      <c r="G214" s="924">
        <v>18340</v>
      </c>
      <c r="H214" s="924"/>
      <c r="I214" s="924"/>
      <c r="J214" s="924"/>
      <c r="K214" s="924"/>
      <c r="L214" s="924"/>
      <c r="M214" s="924"/>
      <c r="N214" s="924"/>
    </row>
    <row r="215" spans="1:14" ht="15.75" hidden="1">
      <c r="A215" s="507">
        <v>2</v>
      </c>
      <c r="B215" s="429" t="s">
        <v>132</v>
      </c>
      <c r="C215" s="811">
        <f t="shared" si="61"/>
        <v>79541</v>
      </c>
      <c r="D215" s="923">
        <v>70189</v>
      </c>
      <c r="E215" s="816">
        <f>SUM(F215:G215)</f>
        <v>600</v>
      </c>
      <c r="F215" s="920"/>
      <c r="G215" s="921">
        <v>600</v>
      </c>
      <c r="H215" s="920"/>
      <c r="I215" s="921">
        <v>800</v>
      </c>
      <c r="J215" s="920"/>
      <c r="K215" s="920"/>
      <c r="L215" s="920"/>
      <c r="M215" s="920"/>
      <c r="N215" s="921">
        <v>7952</v>
      </c>
    </row>
    <row r="216" spans="1:14" ht="15" hidden="1">
      <c r="A216" s="508" t="s">
        <v>1</v>
      </c>
      <c r="B216" s="394" t="s">
        <v>133</v>
      </c>
      <c r="C216" s="811">
        <f t="shared" si="61"/>
        <v>0</v>
      </c>
      <c r="D216" s="406"/>
      <c r="E216" s="816">
        <f>SUM(F216:G216)</f>
        <v>0</v>
      </c>
      <c r="F216" s="406"/>
      <c r="G216" s="406"/>
      <c r="H216" s="406"/>
      <c r="I216" s="406"/>
      <c r="J216" s="406"/>
      <c r="K216" s="406"/>
      <c r="L216" s="406"/>
      <c r="M216" s="406"/>
      <c r="N216" s="406"/>
    </row>
    <row r="217" spans="1:14" ht="15" hidden="1">
      <c r="A217" s="508" t="s">
        <v>9</v>
      </c>
      <c r="B217" s="394" t="s">
        <v>134</v>
      </c>
      <c r="C217" s="811">
        <f t="shared" si="61"/>
        <v>0</v>
      </c>
      <c r="D217" s="406"/>
      <c r="E217" s="816">
        <f>SUM(F217:G217)</f>
        <v>0</v>
      </c>
      <c r="F217" s="406"/>
      <c r="G217" s="406"/>
      <c r="H217" s="406"/>
      <c r="I217" s="406"/>
      <c r="J217" s="406"/>
      <c r="K217" s="406"/>
      <c r="L217" s="406"/>
      <c r="M217" s="406"/>
      <c r="N217" s="406"/>
    </row>
    <row r="218" spans="1:14" ht="15" hidden="1">
      <c r="A218" s="508" t="s">
        <v>135</v>
      </c>
      <c r="B218" s="394" t="s">
        <v>136</v>
      </c>
      <c r="C218" s="806">
        <f t="shared" si="61"/>
        <v>100831</v>
      </c>
      <c r="D218" s="807">
        <f>D213-SUM(D216,D217)</f>
        <v>73139</v>
      </c>
      <c r="E218" s="807">
        <f aca="true" t="shared" si="63" ref="E218:N218">E213-SUM(E216,E217)</f>
        <v>18940</v>
      </c>
      <c r="F218" s="807">
        <f t="shared" si="63"/>
        <v>0</v>
      </c>
      <c r="G218" s="807">
        <f t="shared" si="63"/>
        <v>18940</v>
      </c>
      <c r="H218" s="807">
        <f t="shared" si="63"/>
        <v>0</v>
      </c>
      <c r="I218" s="807">
        <f t="shared" si="63"/>
        <v>800</v>
      </c>
      <c r="J218" s="807">
        <f t="shared" si="63"/>
        <v>0</v>
      </c>
      <c r="K218" s="807">
        <f t="shared" si="63"/>
        <v>0</v>
      </c>
      <c r="L218" s="807">
        <f t="shared" si="63"/>
        <v>0</v>
      </c>
      <c r="M218" s="807">
        <f t="shared" si="63"/>
        <v>0</v>
      </c>
      <c r="N218" s="807">
        <f t="shared" si="63"/>
        <v>7952</v>
      </c>
    </row>
    <row r="219" spans="1:14" ht="15" hidden="1">
      <c r="A219" s="508" t="s">
        <v>51</v>
      </c>
      <c r="B219" s="430" t="s">
        <v>137</v>
      </c>
      <c r="C219" s="815">
        <f>SUM(C220:C227)</f>
        <v>79541</v>
      </c>
      <c r="D219" s="815">
        <f>SUM(D220:D227)</f>
        <v>70189</v>
      </c>
      <c r="E219" s="815">
        <f>SUM(E220:E227)</f>
        <v>600</v>
      </c>
      <c r="F219" s="815">
        <f aca="true" t="shared" si="64" ref="F219:N219">SUM(F220:F227)</f>
        <v>0</v>
      </c>
      <c r="G219" s="815">
        <f t="shared" si="64"/>
        <v>600</v>
      </c>
      <c r="H219" s="815">
        <f t="shared" si="64"/>
        <v>0</v>
      </c>
      <c r="I219" s="815">
        <f t="shared" si="64"/>
        <v>800</v>
      </c>
      <c r="J219" s="815">
        <f t="shared" si="64"/>
        <v>0</v>
      </c>
      <c r="K219" s="815">
        <f t="shared" si="64"/>
        <v>0</v>
      </c>
      <c r="L219" s="815">
        <f t="shared" si="64"/>
        <v>0</v>
      </c>
      <c r="M219" s="815">
        <f t="shared" si="64"/>
        <v>0</v>
      </c>
      <c r="N219" s="815">
        <f t="shared" si="64"/>
        <v>7952</v>
      </c>
    </row>
    <row r="220" spans="1:14" ht="15.75" hidden="1">
      <c r="A220" s="507" t="s">
        <v>53</v>
      </c>
      <c r="B220" s="429" t="s">
        <v>138</v>
      </c>
      <c r="C220" s="811">
        <f>SUM(D220,E220,H220:N220)</f>
        <v>36403</v>
      </c>
      <c r="D220" s="970">
        <v>27251</v>
      </c>
      <c r="E220" s="816">
        <f aca="true" t="shared" si="65" ref="E220:E225">SUM(F220:G220)</f>
        <v>400</v>
      </c>
      <c r="F220" s="977"/>
      <c r="G220" s="971">
        <v>400</v>
      </c>
      <c r="H220" s="977"/>
      <c r="I220" s="971">
        <v>800</v>
      </c>
      <c r="J220" s="971"/>
      <c r="K220" s="971"/>
      <c r="L220" s="971"/>
      <c r="M220" s="921"/>
      <c r="N220" s="921">
        <v>7952</v>
      </c>
    </row>
    <row r="221" spans="1:14" ht="15.75" hidden="1">
      <c r="A221" s="507" t="s">
        <v>54</v>
      </c>
      <c r="B221" s="429" t="s">
        <v>139</v>
      </c>
      <c r="C221" s="811">
        <f>SUM(D221,E221,H221:N221)</f>
        <v>0</v>
      </c>
      <c r="D221" s="971"/>
      <c r="E221" s="816">
        <f t="shared" si="65"/>
        <v>0</v>
      </c>
      <c r="F221" s="971"/>
      <c r="G221" s="971"/>
      <c r="H221" s="971">
        <v>0</v>
      </c>
      <c r="I221" s="971"/>
      <c r="J221" s="971"/>
      <c r="K221" s="971"/>
      <c r="L221" s="971"/>
      <c r="M221" s="971"/>
      <c r="N221" s="971"/>
    </row>
    <row r="222" spans="1:14" ht="0.75" customHeight="1" hidden="1">
      <c r="A222" s="507" t="s">
        <v>140</v>
      </c>
      <c r="B222" s="429" t="s">
        <v>201</v>
      </c>
      <c r="C222" s="811">
        <f>SUM(D222,E222,H222:N222)</f>
        <v>0</v>
      </c>
      <c r="D222" s="920"/>
      <c r="E222" s="816">
        <f t="shared" si="65"/>
        <v>0</v>
      </c>
      <c r="F222" s="920">
        <v>0</v>
      </c>
      <c r="G222" s="971"/>
      <c r="H222" s="971">
        <v>0</v>
      </c>
      <c r="I222" s="971">
        <v>0</v>
      </c>
      <c r="J222" s="971">
        <v>0</v>
      </c>
      <c r="K222" s="971">
        <v>0</v>
      </c>
      <c r="L222" s="971">
        <v>0</v>
      </c>
      <c r="M222" s="971">
        <v>0</v>
      </c>
      <c r="N222" s="819"/>
    </row>
    <row r="223" spans="1:14" ht="15.75" hidden="1">
      <c r="A223" s="507" t="s">
        <v>142</v>
      </c>
      <c r="B223" s="429" t="s">
        <v>141</v>
      </c>
      <c r="C223" s="811">
        <f>D223+E223+H223+I223+J223+K223+L223+M223+N223</f>
        <v>43138</v>
      </c>
      <c r="D223" s="923">
        <v>42938</v>
      </c>
      <c r="E223" s="816">
        <f t="shared" si="65"/>
        <v>200</v>
      </c>
      <c r="F223" s="920">
        <v>0</v>
      </c>
      <c r="G223" s="971">
        <v>200</v>
      </c>
      <c r="H223" s="977">
        <v>0</v>
      </c>
      <c r="I223" s="971">
        <v>0</v>
      </c>
      <c r="J223" s="971">
        <v>0</v>
      </c>
      <c r="K223" s="971">
        <v>0</v>
      </c>
      <c r="L223" s="971">
        <v>0</v>
      </c>
      <c r="M223" s="970">
        <v>0</v>
      </c>
      <c r="N223" s="819"/>
    </row>
    <row r="224" spans="1:14" ht="15.75" hidden="1">
      <c r="A224" s="507" t="s">
        <v>144</v>
      </c>
      <c r="B224" s="429" t="s">
        <v>143</v>
      </c>
      <c r="C224" s="812">
        <f>SUM(D224,E224,H224:N224)</f>
        <v>0</v>
      </c>
      <c r="D224" s="971">
        <v>0</v>
      </c>
      <c r="E224" s="820">
        <f t="shared" si="65"/>
        <v>0</v>
      </c>
      <c r="F224" s="821">
        <f>0</f>
        <v>0</v>
      </c>
      <c r="G224" s="821">
        <f>0</f>
        <v>0</v>
      </c>
      <c r="H224" s="821"/>
      <c r="I224" s="821"/>
      <c r="J224" s="821"/>
      <c r="K224" s="821"/>
      <c r="L224" s="821"/>
      <c r="M224" s="821"/>
      <c r="N224" s="821"/>
    </row>
    <row r="225" spans="1:14" ht="15.75" hidden="1">
      <c r="A225" s="507" t="s">
        <v>146</v>
      </c>
      <c r="B225" s="429" t="s">
        <v>145</v>
      </c>
      <c r="C225" s="811">
        <f>SUM(D225,E225,H225:N225)</f>
        <v>0</v>
      </c>
      <c r="D225" s="971">
        <v>0</v>
      </c>
      <c r="E225" s="816">
        <f t="shared" si="65"/>
        <v>0</v>
      </c>
      <c r="F225" s="819"/>
      <c r="G225" s="819"/>
      <c r="H225" s="819"/>
      <c r="I225" s="819"/>
      <c r="J225" s="819"/>
      <c r="K225" s="819"/>
      <c r="L225" s="819"/>
      <c r="M225" s="819"/>
      <c r="N225" s="819"/>
    </row>
    <row r="226" spans="1:14" ht="25.5" hidden="1">
      <c r="A226" s="507" t="s">
        <v>148</v>
      </c>
      <c r="B226" s="431" t="s">
        <v>147</v>
      </c>
      <c r="C226" s="811">
        <f>SUM(D226,E226,H226:N226)</f>
        <v>0</v>
      </c>
      <c r="D226" s="920">
        <v>0</v>
      </c>
      <c r="E226" s="816">
        <f>SUM(F226:G226)</f>
        <v>0</v>
      </c>
      <c r="F226" s="819"/>
      <c r="G226" s="819"/>
      <c r="H226" s="819"/>
      <c r="I226" s="819"/>
      <c r="J226" s="819"/>
      <c r="K226" s="819"/>
      <c r="L226" s="819"/>
      <c r="M226" s="819"/>
      <c r="N226" s="819"/>
    </row>
    <row r="227" spans="1:14" ht="0.75" customHeight="1" hidden="1">
      <c r="A227" s="507" t="s">
        <v>185</v>
      </c>
      <c r="B227" s="429" t="s">
        <v>149</v>
      </c>
      <c r="C227" s="811">
        <f>SUM(D227,E227,H227:N227)</f>
        <v>0</v>
      </c>
      <c r="D227" s="920">
        <v>0</v>
      </c>
      <c r="E227" s="816">
        <f>SUM(F227:G227)</f>
        <v>0</v>
      </c>
      <c r="F227" s="819">
        <f>0+0+0</f>
        <v>0</v>
      </c>
      <c r="G227" s="819"/>
      <c r="H227" s="819"/>
      <c r="I227" s="819"/>
      <c r="J227" s="819"/>
      <c r="K227" s="819"/>
      <c r="L227" s="819"/>
      <c r="M227" s="819"/>
      <c r="N227" s="819"/>
    </row>
    <row r="228" spans="1:14" ht="15" hidden="1">
      <c r="A228" s="508" t="s">
        <v>52</v>
      </c>
      <c r="B228" s="394" t="s">
        <v>150</v>
      </c>
      <c r="C228" s="806">
        <f>C218-C219</f>
        <v>21290</v>
      </c>
      <c r="D228" s="806">
        <f>D218-D219</f>
        <v>2950</v>
      </c>
      <c r="E228" s="806">
        <f>E218-E219</f>
        <v>18340</v>
      </c>
      <c r="F228" s="806">
        <f>F218-F219</f>
        <v>0</v>
      </c>
      <c r="G228" s="806">
        <f>G218-G219</f>
        <v>18340</v>
      </c>
      <c r="H228" s="806">
        <f aca="true" t="shared" si="66" ref="H228:N228">H218-H219</f>
        <v>0</v>
      </c>
      <c r="I228" s="806">
        <f t="shared" si="66"/>
        <v>0</v>
      </c>
      <c r="J228" s="806">
        <f t="shared" si="66"/>
        <v>0</v>
      </c>
      <c r="K228" s="806">
        <f t="shared" si="66"/>
        <v>0</v>
      </c>
      <c r="L228" s="806">
        <f t="shared" si="66"/>
        <v>0</v>
      </c>
      <c r="M228" s="806">
        <f t="shared" si="66"/>
        <v>0</v>
      </c>
      <c r="N228" s="806">
        <f t="shared" si="66"/>
        <v>0</v>
      </c>
    </row>
    <row r="229" spans="1:14" ht="24" hidden="1">
      <c r="A229" s="534" t="s">
        <v>540</v>
      </c>
      <c r="B229" s="463" t="s">
        <v>202</v>
      </c>
      <c r="C229" s="532">
        <f>(C220+C221+C222)/C219</f>
        <v>0.4576633434329465</v>
      </c>
      <c r="D229" s="533">
        <f aca="true" t="shared" si="67" ref="D229:N229">(D220+D221+D222)/D219</f>
        <v>0.3882517203550414</v>
      </c>
      <c r="E229" s="532">
        <f t="shared" si="67"/>
        <v>0.6666666666666666</v>
      </c>
      <c r="F229" s="533" t="e">
        <f t="shared" si="67"/>
        <v>#DIV/0!</v>
      </c>
      <c r="G229" s="533">
        <f t="shared" si="67"/>
        <v>0.6666666666666666</v>
      </c>
      <c r="H229" s="533" t="e">
        <f t="shared" si="67"/>
        <v>#DIV/0!</v>
      </c>
      <c r="I229" s="533">
        <f t="shared" si="67"/>
        <v>1</v>
      </c>
      <c r="J229" s="533" t="e">
        <f t="shared" si="67"/>
        <v>#DIV/0!</v>
      </c>
      <c r="K229" s="533" t="e">
        <f t="shared" si="67"/>
        <v>#DIV/0!</v>
      </c>
      <c r="L229" s="533" t="e">
        <f t="shared" si="67"/>
        <v>#DIV/0!</v>
      </c>
      <c r="M229" s="533" t="e">
        <f t="shared" si="67"/>
        <v>#DIV/0!</v>
      </c>
      <c r="N229" s="533">
        <f t="shared" si="67"/>
        <v>1</v>
      </c>
    </row>
    <row r="230" ht="15"/>
  </sheetData>
  <sheetProtection/>
  <mergeCells count="140">
    <mergeCell ref="E7:G7"/>
    <mergeCell ref="E8:E9"/>
    <mergeCell ref="D7:D9"/>
    <mergeCell ref="A1:B1"/>
    <mergeCell ref="A2:C2"/>
    <mergeCell ref="A3:B3"/>
    <mergeCell ref="A6:B9"/>
    <mergeCell ref="C6:C9"/>
    <mergeCell ref="A10:B10"/>
    <mergeCell ref="D2:I2"/>
    <mergeCell ref="D3:I3"/>
    <mergeCell ref="D6:N6"/>
    <mergeCell ref="L7:L9"/>
    <mergeCell ref="N7:N9"/>
    <mergeCell ref="J7:J9"/>
    <mergeCell ref="H7:H9"/>
    <mergeCell ref="K7:K9"/>
    <mergeCell ref="F8:G8"/>
    <mergeCell ref="I7:I9"/>
    <mergeCell ref="H40:H42"/>
    <mergeCell ref="I40:I42"/>
    <mergeCell ref="J40:J42"/>
    <mergeCell ref="K40:K42"/>
    <mergeCell ref="L40:L42"/>
    <mergeCell ref="N88:N90"/>
    <mergeCell ref="M40:M42"/>
    <mergeCell ref="N40:N42"/>
    <mergeCell ref="E41:E42"/>
    <mergeCell ref="F41:G41"/>
    <mergeCell ref="M7:M9"/>
    <mergeCell ref="E64:G64"/>
    <mergeCell ref="M64:M66"/>
    <mergeCell ref="N64:N66"/>
    <mergeCell ref="E65:E66"/>
    <mergeCell ref="J64:J66"/>
    <mergeCell ref="K64:K66"/>
    <mergeCell ref="L64:L66"/>
    <mergeCell ref="A39:B42"/>
    <mergeCell ref="C39:C42"/>
    <mergeCell ref="D39:N39"/>
    <mergeCell ref="D40:D42"/>
    <mergeCell ref="E40:G40"/>
    <mergeCell ref="F65:G65"/>
    <mergeCell ref="F89:G89"/>
    <mergeCell ref="I88:I90"/>
    <mergeCell ref="J88:J90"/>
    <mergeCell ref="A43:B43"/>
    <mergeCell ref="A63:B66"/>
    <mergeCell ref="C63:C66"/>
    <mergeCell ref="D63:N63"/>
    <mergeCell ref="D64:D66"/>
    <mergeCell ref="H64:H66"/>
    <mergeCell ref="I64:I66"/>
    <mergeCell ref="I112:I114"/>
    <mergeCell ref="N112:N114"/>
    <mergeCell ref="E113:E114"/>
    <mergeCell ref="A67:B67"/>
    <mergeCell ref="A87:B90"/>
    <mergeCell ref="C87:C90"/>
    <mergeCell ref="D87:N87"/>
    <mergeCell ref="D88:D90"/>
    <mergeCell ref="E88:G88"/>
    <mergeCell ref="E89:E90"/>
    <mergeCell ref="H137:H139"/>
    <mergeCell ref="I137:I139"/>
    <mergeCell ref="J137:J139"/>
    <mergeCell ref="K137:K139"/>
    <mergeCell ref="A91:B91"/>
    <mergeCell ref="A111:B114"/>
    <mergeCell ref="C111:C114"/>
    <mergeCell ref="D111:N111"/>
    <mergeCell ref="D112:D114"/>
    <mergeCell ref="E112:G112"/>
    <mergeCell ref="M112:M114"/>
    <mergeCell ref="F113:G113"/>
    <mergeCell ref="L88:L90"/>
    <mergeCell ref="M88:M90"/>
    <mergeCell ref="J112:J114"/>
    <mergeCell ref="K112:K114"/>
    <mergeCell ref="L112:L114"/>
    <mergeCell ref="K88:K90"/>
    <mergeCell ref="H88:H90"/>
    <mergeCell ref="H112:H114"/>
    <mergeCell ref="M137:M139"/>
    <mergeCell ref="A115:B115"/>
    <mergeCell ref="A136:B139"/>
    <mergeCell ref="C136:C139"/>
    <mergeCell ref="L137:L139"/>
    <mergeCell ref="E138:E139"/>
    <mergeCell ref="F138:G138"/>
    <mergeCell ref="D136:N136"/>
    <mergeCell ref="D137:D139"/>
    <mergeCell ref="E137:G137"/>
    <mergeCell ref="N137:N139"/>
    <mergeCell ref="A140:B140"/>
    <mergeCell ref="E185:G185"/>
    <mergeCell ref="L185:L187"/>
    <mergeCell ref="F162:G162"/>
    <mergeCell ref="H185:H187"/>
    <mergeCell ref="I185:I187"/>
    <mergeCell ref="H161:H163"/>
    <mergeCell ref="I161:I163"/>
    <mergeCell ref="J161:J163"/>
    <mergeCell ref="K161:K163"/>
    <mergeCell ref="A160:B163"/>
    <mergeCell ref="C160:C163"/>
    <mergeCell ref="D160:N160"/>
    <mergeCell ref="D161:D163"/>
    <mergeCell ref="E161:G161"/>
    <mergeCell ref="N161:N163"/>
    <mergeCell ref="E162:E163"/>
    <mergeCell ref="L161:L163"/>
    <mergeCell ref="M161:M163"/>
    <mergeCell ref="E209:G209"/>
    <mergeCell ref="E210:E211"/>
    <mergeCell ref="K209:K211"/>
    <mergeCell ref="H209:H211"/>
    <mergeCell ref="M185:M187"/>
    <mergeCell ref="K185:K187"/>
    <mergeCell ref="J185:J187"/>
    <mergeCell ref="A212:B212"/>
    <mergeCell ref="I209:I211"/>
    <mergeCell ref="J209:J211"/>
    <mergeCell ref="L209:L211"/>
    <mergeCell ref="A164:B164"/>
    <mergeCell ref="A184:B187"/>
    <mergeCell ref="C184:C187"/>
    <mergeCell ref="D184:N184"/>
    <mergeCell ref="D185:D187"/>
    <mergeCell ref="N209:N211"/>
    <mergeCell ref="N185:N187"/>
    <mergeCell ref="E186:E187"/>
    <mergeCell ref="A188:B188"/>
    <mergeCell ref="A208:B211"/>
    <mergeCell ref="C208:C211"/>
    <mergeCell ref="D209:D211"/>
    <mergeCell ref="D208:N208"/>
    <mergeCell ref="M209:M211"/>
    <mergeCell ref="F210:G210"/>
    <mergeCell ref="F186:G186"/>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0" zoomScaleNormal="80" zoomScaleSheetLayoutView="85" zoomScalePageLayoutView="0" workbookViewId="0" topLeftCell="A10">
      <selection activeCell="C27" sqref="C27"/>
    </sheetView>
  </sheetViews>
  <sheetFormatPr defaultColWidth="9.00390625" defaultRowHeight="15.75"/>
  <cols>
    <col min="1" max="1" width="4.25390625" style="423" customWidth="1"/>
    <col min="2" max="2" width="46.875" style="423" customWidth="1"/>
    <col min="3" max="3" width="39.50390625" style="423" customWidth="1"/>
    <col min="4" max="16384" width="9.00390625" style="423" customWidth="1"/>
  </cols>
  <sheetData>
    <row r="1" spans="1:3" s="435" customFormat="1" ht="36" customHeight="1">
      <c r="A1" s="1521" t="s">
        <v>203</v>
      </c>
      <c r="B1" s="1522"/>
      <c r="C1" s="1522"/>
    </row>
    <row r="2" spans="1:3" s="443" customFormat="1" ht="21.75" customHeight="1">
      <c r="A2" s="1532" t="s">
        <v>69</v>
      </c>
      <c r="B2" s="1533"/>
      <c r="C2" s="464" t="s">
        <v>340</v>
      </c>
    </row>
    <row r="3" spans="1:3" s="443" customFormat="1" ht="24.75" customHeight="1">
      <c r="A3" s="1534" t="s">
        <v>6</v>
      </c>
      <c r="B3" s="1535"/>
      <c r="C3" s="19">
        <v>1</v>
      </c>
    </row>
    <row r="4" spans="1:3" ht="21" customHeight="1">
      <c r="A4" s="440" t="s">
        <v>51</v>
      </c>
      <c r="B4" s="521" t="s">
        <v>554</v>
      </c>
      <c r="C4" s="402">
        <f>C5+C6+C7+C8+C9+C10+C11</f>
        <v>294819</v>
      </c>
    </row>
    <row r="5" spans="1:3" s="26" customFormat="1" ht="21" customHeight="1">
      <c r="A5" s="445" t="s">
        <v>53</v>
      </c>
      <c r="B5" s="522" t="s">
        <v>152</v>
      </c>
      <c r="C5" s="406"/>
    </row>
    <row r="6" spans="1:3" s="26" customFormat="1" ht="21" customHeight="1">
      <c r="A6" s="445" t="s">
        <v>54</v>
      </c>
      <c r="B6" s="522" t="s">
        <v>153</v>
      </c>
      <c r="C6" s="406"/>
    </row>
    <row r="7" spans="1:3" s="26" customFormat="1" ht="21" customHeight="1">
      <c r="A7" s="445" t="s">
        <v>140</v>
      </c>
      <c r="B7" s="522" t="s">
        <v>154</v>
      </c>
      <c r="C7" s="406">
        <v>294819</v>
      </c>
    </row>
    <row r="8" spans="1:3" s="26" customFormat="1" ht="21" customHeight="1">
      <c r="A8" s="445" t="s">
        <v>142</v>
      </c>
      <c r="B8" s="522" t="s">
        <v>155</v>
      </c>
      <c r="C8" s="406"/>
    </row>
    <row r="9" spans="1:3" s="26" customFormat="1" ht="21" customHeight="1">
      <c r="A9" s="445" t="s">
        <v>144</v>
      </c>
      <c r="B9" s="522" t="s">
        <v>156</v>
      </c>
      <c r="C9" s="406"/>
    </row>
    <row r="10" spans="1:3" s="26" customFormat="1" ht="21" customHeight="1">
      <c r="A10" s="445" t="s">
        <v>146</v>
      </c>
      <c r="B10" s="522" t="s">
        <v>157</v>
      </c>
      <c r="C10" s="406"/>
    </row>
    <row r="11" spans="1:3" s="26" customFormat="1" ht="21" customHeight="1">
      <c r="A11" s="445" t="s">
        <v>148</v>
      </c>
      <c r="B11" s="522" t="s">
        <v>159</v>
      </c>
      <c r="C11" s="406"/>
    </row>
    <row r="12" spans="1:3" s="446" customFormat="1" ht="21" customHeight="1">
      <c r="A12" s="440" t="s">
        <v>52</v>
      </c>
      <c r="B12" s="521" t="s">
        <v>550</v>
      </c>
      <c r="C12" s="402">
        <f>C13+C14</f>
        <v>139074</v>
      </c>
    </row>
    <row r="13" spans="1:3" s="26" customFormat="1" ht="21" customHeight="1">
      <c r="A13" s="444" t="s">
        <v>55</v>
      </c>
      <c r="B13" s="522" t="s">
        <v>158</v>
      </c>
      <c r="C13" s="406">
        <f>139074</f>
        <v>139074</v>
      </c>
    </row>
    <row r="14" spans="1:3" ht="21" customHeight="1">
      <c r="A14" s="445" t="s">
        <v>56</v>
      </c>
      <c r="B14" s="522" t="s">
        <v>159</v>
      </c>
      <c r="C14" s="406"/>
    </row>
    <row r="15" spans="1:3" ht="21" customHeight="1">
      <c r="A15" s="440" t="s">
        <v>57</v>
      </c>
      <c r="B15" s="535" t="s">
        <v>149</v>
      </c>
      <c r="C15" s="402">
        <f>C16+C17+C18</f>
        <v>10381</v>
      </c>
    </row>
    <row r="16" spans="1:3" ht="21" customHeight="1">
      <c r="A16" s="445" t="s">
        <v>160</v>
      </c>
      <c r="B16" s="522" t="s">
        <v>188</v>
      </c>
      <c r="C16" s="406">
        <f>6425+3806+150</f>
        <v>10381</v>
      </c>
    </row>
    <row r="17" spans="1:3" s="26" customFormat="1" ht="30">
      <c r="A17" s="445" t="s">
        <v>162</v>
      </c>
      <c r="B17" s="522" t="s">
        <v>163</v>
      </c>
      <c r="C17" s="406"/>
    </row>
    <row r="18" spans="1:3" s="26" customFormat="1" ht="27" customHeight="1">
      <c r="A18" s="445" t="s">
        <v>164</v>
      </c>
      <c r="B18" s="522" t="s">
        <v>165</v>
      </c>
      <c r="C18" s="406"/>
    </row>
    <row r="19" spans="1:3" s="26" customFormat="1" ht="21" customHeight="1">
      <c r="A19" s="440" t="s">
        <v>72</v>
      </c>
      <c r="B19" s="521" t="s">
        <v>555</v>
      </c>
      <c r="C19" s="402">
        <f>C20+C21+C22+C23+C24+C25</f>
        <v>188319</v>
      </c>
    </row>
    <row r="20" spans="1:3" s="26" customFormat="1" ht="21" customHeight="1">
      <c r="A20" s="445" t="s">
        <v>166</v>
      </c>
      <c r="B20" s="522" t="s">
        <v>167</v>
      </c>
      <c r="C20" s="406">
        <v>58735</v>
      </c>
    </row>
    <row r="21" spans="1:3" s="26" customFormat="1" ht="21" customHeight="1">
      <c r="A21" s="445" t="s">
        <v>168</v>
      </c>
      <c r="B21" s="522" t="s">
        <v>169</v>
      </c>
      <c r="C21" s="406"/>
    </row>
    <row r="22" spans="1:3" s="26" customFormat="1" ht="21" customHeight="1">
      <c r="A22" s="1146" t="s">
        <v>172</v>
      </c>
      <c r="B22" s="522" t="s">
        <v>171</v>
      </c>
      <c r="C22" s="406"/>
    </row>
    <row r="23" spans="1:3" s="26" customFormat="1" ht="21" customHeight="1">
      <c r="A23" s="1146" t="s">
        <v>173</v>
      </c>
      <c r="B23" s="522" t="s">
        <v>155</v>
      </c>
      <c r="C23" s="406"/>
    </row>
    <row r="24" spans="1:3" s="26" customFormat="1" ht="21" customHeight="1">
      <c r="A24" s="1146" t="s">
        <v>174</v>
      </c>
      <c r="B24" s="522" t="s">
        <v>156</v>
      </c>
      <c r="C24" s="406">
        <v>129584</v>
      </c>
    </row>
    <row r="25" spans="1:3" s="26" customFormat="1" ht="21" customHeight="1">
      <c r="A25" s="445" t="s">
        <v>174</v>
      </c>
      <c r="B25" s="522" t="s">
        <v>175</v>
      </c>
      <c r="C25" s="406"/>
    </row>
    <row r="26" spans="1:3" s="26" customFormat="1" ht="21" customHeight="1">
      <c r="A26" s="440" t="s">
        <v>73</v>
      </c>
      <c r="B26" s="521" t="s">
        <v>553</v>
      </c>
      <c r="C26" s="402">
        <f>C27+C28+C29</f>
        <v>7481853</v>
      </c>
    </row>
    <row r="27" spans="1:3" s="26" customFormat="1" ht="21" customHeight="1">
      <c r="A27" s="445" t="s">
        <v>176</v>
      </c>
      <c r="B27" s="522" t="s">
        <v>167</v>
      </c>
      <c r="C27" s="406">
        <v>7481853</v>
      </c>
    </row>
    <row r="28" spans="1:3" ht="21" customHeight="1">
      <c r="A28" s="445" t="s">
        <v>177</v>
      </c>
      <c r="B28" s="522" t="s">
        <v>169</v>
      </c>
      <c r="C28" s="406"/>
    </row>
    <row r="29" spans="1:3" s="26" customFormat="1" ht="21" customHeight="1">
      <c r="A29" s="445" t="s">
        <v>178</v>
      </c>
      <c r="B29" s="522" t="s">
        <v>179</v>
      </c>
      <c r="C29" s="406"/>
    </row>
    <row r="30" spans="1:3" s="443" customFormat="1" ht="42" customHeight="1">
      <c r="A30" s="1536" t="str">
        <f>'Thong tin'!B8</f>
        <v>Tuyên Quang, ngày 05 tháng 04 năm 2017</v>
      </c>
      <c r="B30" s="1536"/>
      <c r="C30" s="1536"/>
    </row>
    <row r="31" spans="1:3" s="443" customFormat="1" ht="15.75" customHeight="1">
      <c r="A31" s="1519" t="s">
        <v>180</v>
      </c>
      <c r="B31" s="1519"/>
      <c r="C31" s="523" t="str">
        <f>'Thong tin'!B7</f>
        <v>CỤC TRƯỞNG</v>
      </c>
    </row>
    <row r="32" spans="1:3" s="467" customFormat="1" ht="18.75">
      <c r="A32" s="536"/>
      <c r="B32" s="537"/>
      <c r="C32" s="538"/>
    </row>
    <row r="33" spans="1:3" s="443" customFormat="1" ht="15.75" customHeight="1">
      <c r="A33" s="536"/>
      <c r="B33" s="539"/>
      <c r="C33" s="536"/>
    </row>
    <row r="34" spans="1:3" s="443" customFormat="1" ht="15.75" customHeight="1">
      <c r="A34" s="536"/>
      <c r="B34" s="539"/>
      <c r="C34" s="536"/>
    </row>
    <row r="35" spans="1:3" s="443" customFormat="1" ht="15.75" customHeight="1">
      <c r="A35" s="536"/>
      <c r="B35" s="540"/>
      <c r="C35" s="538"/>
    </row>
    <row r="36" spans="1:3" s="443" customFormat="1" ht="15.75" customHeight="1">
      <c r="A36" s="536"/>
      <c r="B36" s="539"/>
      <c r="C36" s="536"/>
    </row>
    <row r="37" spans="1:3" s="443" customFormat="1" ht="18.75" hidden="1">
      <c r="A37" s="541" t="s">
        <v>46</v>
      </c>
      <c r="B37" s="542"/>
      <c r="C37" s="542"/>
    </row>
    <row r="38" spans="1:3" s="443" customFormat="1" ht="18.75" hidden="1">
      <c r="A38" s="536"/>
      <c r="B38" s="536" t="s">
        <v>49</v>
      </c>
      <c r="C38" s="536"/>
    </row>
    <row r="39" spans="1:3" s="443" customFormat="1" ht="18.75" hidden="1">
      <c r="A39" s="536"/>
      <c r="B39" s="536" t="s">
        <v>63</v>
      </c>
      <c r="C39" s="536"/>
    </row>
    <row r="40" spans="1:3" s="443" customFormat="1" ht="18.75" hidden="1">
      <c r="A40" s="536"/>
      <c r="B40" s="536" t="s">
        <v>61</v>
      </c>
      <c r="C40" s="536"/>
    </row>
    <row r="41" spans="1:3" s="443" customFormat="1" ht="18.75" hidden="1">
      <c r="A41" s="536"/>
      <c r="B41" s="536" t="s">
        <v>64</v>
      </c>
      <c r="C41" s="536"/>
    </row>
    <row r="42" spans="1:3" s="443" customFormat="1" ht="18.75">
      <c r="A42" s="536"/>
      <c r="B42" s="536"/>
      <c r="C42" s="536"/>
    </row>
    <row r="43" spans="1:3" s="443" customFormat="1" ht="18.75">
      <c r="A43" s="1519" t="str">
        <f>'Thong tin'!B5</f>
        <v>Duy Thị Thúy</v>
      </c>
      <c r="B43" s="1519"/>
      <c r="C43" s="531" t="str">
        <f>'Thong tin'!B6</f>
        <v>Nguyễn Tuyên </v>
      </c>
    </row>
  </sheetData>
  <sheetProtection/>
  <mergeCells count="6">
    <mergeCell ref="A31:B31"/>
    <mergeCell ref="A43:B43"/>
    <mergeCell ref="A1:C1"/>
    <mergeCell ref="A2:B2"/>
    <mergeCell ref="A3:B3"/>
    <mergeCell ref="A30:C30"/>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17"/>
  <sheetViews>
    <sheetView showZeros="0" zoomScale="85" zoomScaleNormal="85" zoomScaleSheetLayoutView="85" zoomScalePageLayoutView="0" workbookViewId="0" topLeftCell="A10">
      <selection activeCell="A120" sqref="A120:IV120"/>
    </sheetView>
  </sheetViews>
  <sheetFormatPr defaultColWidth="9.00390625" defaultRowHeight="15.75"/>
  <cols>
    <col min="1" max="1" width="3.625" style="435" customWidth="1"/>
    <col min="2" max="2" width="22.50390625" style="388" customWidth="1"/>
    <col min="3" max="3" width="11.75390625" style="388" customWidth="1"/>
    <col min="4" max="4" width="11.625" style="388" customWidth="1"/>
    <col min="5" max="5" width="8.375" style="388" customWidth="1"/>
    <col min="6" max="6" width="7.625" style="388" customWidth="1"/>
    <col min="7" max="7" width="9.25390625" style="388" customWidth="1"/>
    <col min="8" max="8" width="7.50390625" style="388" customWidth="1"/>
    <col min="9" max="9" width="8.25390625" style="388" customWidth="1"/>
    <col min="10" max="10" width="10.75390625" style="388" customWidth="1"/>
    <col min="11" max="11" width="8.50390625" style="388" customWidth="1"/>
    <col min="12" max="12" width="6.00390625" style="388" customWidth="1"/>
    <col min="13" max="13" width="7.125" style="388" customWidth="1"/>
    <col min="14" max="14" width="5.50390625" style="388" customWidth="1"/>
    <col min="15" max="15" width="7.625" style="388" customWidth="1"/>
    <col min="16" max="16" width="9.00390625" style="388" customWidth="1"/>
    <col min="17" max="17" width="34.375" style="388" customWidth="1"/>
    <col min="18" max="16384" width="9.00390625" style="388" customWidth="1"/>
  </cols>
  <sheetData>
    <row r="1" spans="1:17" ht="24.75" customHeight="1">
      <c r="A1" s="1502" t="s">
        <v>31</v>
      </c>
      <c r="B1" s="1502"/>
      <c r="C1" s="415"/>
      <c r="D1" s="1503" t="s">
        <v>193</v>
      </c>
      <c r="E1" s="1503"/>
      <c r="F1" s="1503"/>
      <c r="G1" s="1503"/>
      <c r="H1" s="1503"/>
      <c r="I1" s="1503"/>
      <c r="J1" s="1503"/>
      <c r="K1" s="1503"/>
      <c r="L1" s="1494" t="s">
        <v>542</v>
      </c>
      <c r="M1" s="1494"/>
      <c r="N1" s="1494"/>
      <c r="O1" s="1494"/>
      <c r="P1" s="414"/>
      <c r="Q1" s="414"/>
    </row>
    <row r="2" spans="1:17" ht="16.5" customHeight="1">
      <c r="A2" s="1531" t="s">
        <v>342</v>
      </c>
      <c r="B2" s="1531"/>
      <c r="C2" s="1531"/>
      <c r="D2" s="1503" t="s">
        <v>182</v>
      </c>
      <c r="E2" s="1503"/>
      <c r="F2" s="1503"/>
      <c r="G2" s="1503"/>
      <c r="H2" s="1503"/>
      <c r="I2" s="1503"/>
      <c r="J2" s="1503"/>
      <c r="K2" s="1503"/>
      <c r="L2" s="1495" t="str">
        <f>'Thong tin'!B4</f>
        <v>Cục THADS tỉnh Tuyên Quang</v>
      </c>
      <c r="M2" s="1495"/>
      <c r="N2" s="1495"/>
      <c r="O2" s="1495"/>
      <c r="P2" s="414"/>
      <c r="Q2" s="424"/>
    </row>
    <row r="3" spans="1:17" ht="16.5" customHeight="1">
      <c r="A3" s="1531" t="s">
        <v>343</v>
      </c>
      <c r="B3" s="1531"/>
      <c r="C3" s="414"/>
      <c r="D3" s="1497" t="str">
        <f>'Thong tin'!B3</f>
        <v>06 tháng / năm 2017</v>
      </c>
      <c r="E3" s="1497"/>
      <c r="F3" s="1497"/>
      <c r="G3" s="1497"/>
      <c r="H3" s="1497"/>
      <c r="I3" s="1497"/>
      <c r="J3" s="1497"/>
      <c r="K3" s="1497"/>
      <c r="L3" s="1494" t="s">
        <v>509</v>
      </c>
      <c r="M3" s="1494"/>
      <c r="N3" s="1494"/>
      <c r="O3" s="1494"/>
      <c r="P3" s="414"/>
      <c r="Q3" s="456"/>
    </row>
    <row r="4" spans="1:17" ht="16.5" customHeight="1">
      <c r="A4" s="418" t="s">
        <v>118</v>
      </c>
      <c r="B4" s="419"/>
      <c r="C4" s="420"/>
      <c r="D4" s="421"/>
      <c r="E4" s="421"/>
      <c r="F4" s="420"/>
      <c r="G4" s="422"/>
      <c r="H4" s="422"/>
      <c r="I4" s="422"/>
      <c r="J4" s="420"/>
      <c r="K4" s="421"/>
      <c r="L4" s="1495" t="s">
        <v>410</v>
      </c>
      <c r="M4" s="1495"/>
      <c r="N4" s="1495"/>
      <c r="O4" s="1495"/>
      <c r="P4" s="414"/>
      <c r="Q4" s="456"/>
    </row>
    <row r="5" spans="1:17" ht="16.5" customHeight="1">
      <c r="A5" s="423"/>
      <c r="B5" s="420"/>
      <c r="C5" s="420"/>
      <c r="D5" s="420"/>
      <c r="E5" s="420"/>
      <c r="F5" s="424"/>
      <c r="G5" s="425"/>
      <c r="H5" s="425"/>
      <c r="I5" s="425"/>
      <c r="J5" s="424"/>
      <c r="K5" s="426"/>
      <c r="L5" s="426"/>
      <c r="M5" s="426" t="s">
        <v>194</v>
      </c>
      <c r="N5" s="468"/>
      <c r="O5" s="414"/>
      <c r="P5" s="414"/>
      <c r="Q5" s="456"/>
    </row>
    <row r="6" spans="1:17" ht="18.75" customHeight="1">
      <c r="A6" s="1478" t="s">
        <v>68</v>
      </c>
      <c r="B6" s="1479"/>
      <c r="C6" s="1487" t="s">
        <v>37</v>
      </c>
      <c r="D6" s="1487" t="s">
        <v>335</v>
      </c>
      <c r="E6" s="1488"/>
      <c r="F6" s="1488"/>
      <c r="G6" s="1488"/>
      <c r="H6" s="1488"/>
      <c r="I6" s="1488"/>
      <c r="J6" s="1488"/>
      <c r="K6" s="1488"/>
      <c r="L6" s="1488"/>
      <c r="M6" s="1488"/>
      <c r="N6" s="1488"/>
      <c r="O6" s="1489"/>
      <c r="P6" s="453"/>
      <c r="Q6" s="458"/>
    </row>
    <row r="7" spans="1:17" ht="20.25" customHeight="1">
      <c r="A7" s="1480"/>
      <c r="B7" s="1481"/>
      <c r="C7" s="1501"/>
      <c r="D7" s="1491" t="s">
        <v>119</v>
      </c>
      <c r="E7" s="1498" t="s">
        <v>120</v>
      </c>
      <c r="F7" s="1499"/>
      <c r="G7" s="1500"/>
      <c r="H7" s="1474" t="s">
        <v>121</v>
      </c>
      <c r="I7" s="1474" t="s">
        <v>122</v>
      </c>
      <c r="J7" s="1474" t="s">
        <v>198</v>
      </c>
      <c r="K7" s="1474" t="s">
        <v>124</v>
      </c>
      <c r="L7" s="1474" t="s">
        <v>125</v>
      </c>
      <c r="M7" s="1474" t="s">
        <v>126</v>
      </c>
      <c r="N7" s="1474" t="s">
        <v>183</v>
      </c>
      <c r="O7" s="1474" t="s">
        <v>127</v>
      </c>
      <c r="P7" s="456"/>
      <c r="Q7" s="456"/>
    </row>
    <row r="8" spans="1:17" ht="21.75" customHeight="1">
      <c r="A8" s="1480"/>
      <c r="B8" s="1481"/>
      <c r="C8" s="1501"/>
      <c r="D8" s="1491"/>
      <c r="E8" s="1473" t="s">
        <v>36</v>
      </c>
      <c r="F8" s="1476" t="s">
        <v>7</v>
      </c>
      <c r="G8" s="1477"/>
      <c r="H8" s="1474"/>
      <c r="I8" s="1474"/>
      <c r="J8" s="1474"/>
      <c r="K8" s="1474"/>
      <c r="L8" s="1474"/>
      <c r="M8" s="1474"/>
      <c r="N8" s="1474"/>
      <c r="O8" s="1474"/>
      <c r="P8" s="1537"/>
      <c r="Q8" s="1537"/>
    </row>
    <row r="9" spans="1:17" ht="21.75" customHeight="1">
      <c r="A9" s="1482"/>
      <c r="B9" s="1483"/>
      <c r="C9" s="1501"/>
      <c r="D9" s="1492"/>
      <c r="E9" s="1475"/>
      <c r="F9" s="559" t="s">
        <v>199</v>
      </c>
      <c r="G9" s="560" t="s">
        <v>200</v>
      </c>
      <c r="H9" s="1475"/>
      <c r="I9" s="1475"/>
      <c r="J9" s="1475"/>
      <c r="K9" s="1475"/>
      <c r="L9" s="1475"/>
      <c r="M9" s="1475"/>
      <c r="N9" s="1475"/>
      <c r="O9" s="1475"/>
      <c r="P9" s="459"/>
      <c r="Q9" s="459"/>
    </row>
    <row r="10" spans="1:17" s="393" customFormat="1" ht="22.5" customHeight="1">
      <c r="A10" s="1471" t="s">
        <v>39</v>
      </c>
      <c r="B10" s="1472"/>
      <c r="C10" s="505">
        <v>1</v>
      </c>
      <c r="D10" s="505">
        <v>2</v>
      </c>
      <c r="E10" s="505">
        <v>3</v>
      </c>
      <c r="F10" s="505">
        <v>4</v>
      </c>
      <c r="G10" s="505">
        <v>5</v>
      </c>
      <c r="H10" s="505">
        <v>6</v>
      </c>
      <c r="I10" s="505">
        <v>7</v>
      </c>
      <c r="J10" s="505">
        <v>8</v>
      </c>
      <c r="K10" s="505">
        <v>9</v>
      </c>
      <c r="L10" s="505">
        <v>10</v>
      </c>
      <c r="M10" s="505">
        <v>11</v>
      </c>
      <c r="N10" s="505">
        <v>12</v>
      </c>
      <c r="O10" s="505">
        <v>13</v>
      </c>
      <c r="P10" s="469"/>
      <c r="Q10" s="469"/>
    </row>
    <row r="11" spans="1:17" ht="21" customHeight="1">
      <c r="A11" s="506" t="s">
        <v>0</v>
      </c>
      <c r="B11" s="427" t="s">
        <v>130</v>
      </c>
      <c r="C11" s="806">
        <f aca="true" t="shared" si="0" ref="C11:C17">SUM(D11,E11,H11:O11)</f>
        <v>94302328</v>
      </c>
      <c r="D11" s="814">
        <f>SUM(D12:D13)</f>
        <v>75186435</v>
      </c>
      <c r="E11" s="814">
        <f aca="true" t="shared" si="1" ref="E11:O11">SUM(E12:E13)</f>
        <v>8111470</v>
      </c>
      <c r="F11" s="814">
        <f t="shared" si="1"/>
        <v>0</v>
      </c>
      <c r="G11" s="814">
        <f t="shared" si="1"/>
        <v>8111470</v>
      </c>
      <c r="H11" s="814">
        <f t="shared" si="1"/>
        <v>0</v>
      </c>
      <c r="I11" s="814">
        <f t="shared" si="1"/>
        <v>1337965</v>
      </c>
      <c r="J11" s="814">
        <f t="shared" si="1"/>
        <v>9538314</v>
      </c>
      <c r="K11" s="814">
        <f>SUM(K12:K13)</f>
        <v>89644</v>
      </c>
      <c r="L11" s="814">
        <f t="shared" si="1"/>
        <v>0</v>
      </c>
      <c r="M11" s="814">
        <f t="shared" si="1"/>
        <v>0</v>
      </c>
      <c r="N11" s="814">
        <f t="shared" si="1"/>
        <v>0</v>
      </c>
      <c r="O11" s="814">
        <f t="shared" si="1"/>
        <v>38500</v>
      </c>
      <c r="P11" s="458"/>
      <c r="Q11" s="458"/>
    </row>
    <row r="12" spans="1:17" ht="21" customHeight="1">
      <c r="A12" s="507">
        <v>1</v>
      </c>
      <c r="B12" s="429" t="s">
        <v>131</v>
      </c>
      <c r="C12" s="811">
        <f t="shared" si="0"/>
        <v>69886073</v>
      </c>
      <c r="D12" s="406">
        <f>D39+D63+D86+D110+D134+D157+D180+D203</f>
        <v>58179066</v>
      </c>
      <c r="E12" s="816">
        <f aca="true" t="shared" si="2" ref="E12:E24">SUM(F12:G12)</f>
        <v>1876126</v>
      </c>
      <c r="F12" s="406">
        <f>F39+F63+F86+F110+F134+F157+F180+F203</f>
        <v>0</v>
      </c>
      <c r="G12" s="406">
        <f aca="true" t="shared" si="3" ref="G12:O12">G39+G63+G86+G110+G134+G157+G180+G203</f>
        <v>1876126</v>
      </c>
      <c r="H12" s="406">
        <f t="shared" si="3"/>
        <v>0</v>
      </c>
      <c r="I12" s="406">
        <f t="shared" si="3"/>
        <v>527749</v>
      </c>
      <c r="J12" s="406">
        <f t="shared" si="3"/>
        <v>9174988</v>
      </c>
      <c r="K12" s="406">
        <f t="shared" si="3"/>
        <v>89644</v>
      </c>
      <c r="L12" s="406">
        <f t="shared" si="3"/>
        <v>0</v>
      </c>
      <c r="M12" s="406">
        <f t="shared" si="3"/>
        <v>0</v>
      </c>
      <c r="N12" s="406">
        <f t="shared" si="3"/>
        <v>0</v>
      </c>
      <c r="O12" s="406">
        <f t="shared" si="3"/>
        <v>38500</v>
      </c>
      <c r="P12" s="456"/>
      <c r="Q12" s="456"/>
    </row>
    <row r="13" spans="1:17" ht="21" customHeight="1">
      <c r="A13" s="507">
        <v>2</v>
      </c>
      <c r="B13" s="429" t="s">
        <v>132</v>
      </c>
      <c r="C13" s="811">
        <f t="shared" si="0"/>
        <v>24416255</v>
      </c>
      <c r="D13" s="406">
        <f>D40+D64+D87+D111+D135+D158+D181+D204</f>
        <v>17007369</v>
      </c>
      <c r="E13" s="816">
        <f t="shared" si="2"/>
        <v>6235344</v>
      </c>
      <c r="F13" s="406">
        <f aca="true" t="shared" si="4" ref="F13:O15">F40+F64+F87+F111+F135+F158+F181+F204</f>
        <v>0</v>
      </c>
      <c r="G13" s="406">
        <f t="shared" si="4"/>
        <v>6235344</v>
      </c>
      <c r="H13" s="406">
        <f t="shared" si="4"/>
        <v>0</v>
      </c>
      <c r="I13" s="406">
        <f t="shared" si="4"/>
        <v>810216</v>
      </c>
      <c r="J13" s="406">
        <f t="shared" si="4"/>
        <v>363326</v>
      </c>
      <c r="K13" s="406">
        <f t="shared" si="4"/>
        <v>0</v>
      </c>
      <c r="L13" s="406">
        <f t="shared" si="4"/>
        <v>0</v>
      </c>
      <c r="M13" s="406">
        <f t="shared" si="4"/>
        <v>0</v>
      </c>
      <c r="N13" s="406">
        <f t="shared" si="4"/>
        <v>0</v>
      </c>
      <c r="O13" s="406">
        <f t="shared" si="4"/>
        <v>0</v>
      </c>
      <c r="P13" s="456"/>
      <c r="Q13" s="456"/>
    </row>
    <row r="14" spans="1:17" ht="21" customHeight="1">
      <c r="A14" s="508" t="s">
        <v>1</v>
      </c>
      <c r="B14" s="394" t="s">
        <v>133</v>
      </c>
      <c r="C14" s="811">
        <f t="shared" si="0"/>
        <v>1990717</v>
      </c>
      <c r="D14" s="406">
        <f>D41+D65+D88+D112+D136+D159+D182+D205</f>
        <v>875237</v>
      </c>
      <c r="E14" s="816">
        <f t="shared" si="2"/>
        <v>1052679</v>
      </c>
      <c r="F14" s="406">
        <f t="shared" si="4"/>
        <v>0</v>
      </c>
      <c r="G14" s="406">
        <f t="shared" si="4"/>
        <v>1052679</v>
      </c>
      <c r="H14" s="406">
        <f t="shared" si="4"/>
        <v>0</v>
      </c>
      <c r="I14" s="406">
        <f t="shared" si="4"/>
        <v>62801</v>
      </c>
      <c r="J14" s="406">
        <f t="shared" si="4"/>
        <v>0</v>
      </c>
      <c r="K14" s="406">
        <f t="shared" si="4"/>
        <v>0</v>
      </c>
      <c r="L14" s="406">
        <f t="shared" si="4"/>
        <v>0</v>
      </c>
      <c r="M14" s="406">
        <f t="shared" si="4"/>
        <v>0</v>
      </c>
      <c r="N14" s="406">
        <f t="shared" si="4"/>
        <v>0</v>
      </c>
      <c r="O14" s="406">
        <f t="shared" si="4"/>
        <v>0</v>
      </c>
      <c r="P14" s="456"/>
      <c r="Q14" s="456"/>
    </row>
    <row r="15" spans="1:17" ht="21" customHeight="1">
      <c r="A15" s="508" t="s">
        <v>9</v>
      </c>
      <c r="B15" s="394" t="s">
        <v>134</v>
      </c>
      <c r="C15" s="811">
        <f t="shared" si="0"/>
        <v>570000</v>
      </c>
      <c r="D15" s="822">
        <f>D42+D66+D89+D113+D137+D160+D183+D206</f>
        <v>0</v>
      </c>
      <c r="E15" s="816">
        <f t="shared" si="2"/>
        <v>570000</v>
      </c>
      <c r="F15" s="406">
        <f t="shared" si="4"/>
        <v>0</v>
      </c>
      <c r="G15" s="822">
        <f>570000</f>
        <v>570000</v>
      </c>
      <c r="H15" s="822">
        <f aca="true" t="shared" si="5" ref="H15:O15">H42+H66+H89+H113+H137+H160+H183+H206</f>
        <v>0</v>
      </c>
      <c r="I15" s="822">
        <f t="shared" si="5"/>
        <v>0</v>
      </c>
      <c r="J15" s="822">
        <f t="shared" si="5"/>
        <v>0</v>
      </c>
      <c r="K15" s="822">
        <f t="shared" si="5"/>
        <v>0</v>
      </c>
      <c r="L15" s="822">
        <f t="shared" si="5"/>
        <v>0</v>
      </c>
      <c r="M15" s="822">
        <f t="shared" si="5"/>
        <v>0</v>
      </c>
      <c r="N15" s="822">
        <f t="shared" si="5"/>
        <v>0</v>
      </c>
      <c r="O15" s="822">
        <f t="shared" si="5"/>
        <v>0</v>
      </c>
      <c r="P15" s="456"/>
      <c r="Q15" s="456"/>
    </row>
    <row r="16" spans="1:17" ht="21" customHeight="1">
      <c r="A16" s="508" t="s">
        <v>135</v>
      </c>
      <c r="B16" s="394" t="s">
        <v>136</v>
      </c>
      <c r="C16" s="806">
        <f t="shared" si="0"/>
        <v>92311611</v>
      </c>
      <c r="D16" s="807">
        <f>D11-SUM(D14,D15)</f>
        <v>74311198</v>
      </c>
      <c r="E16" s="814">
        <f t="shared" si="2"/>
        <v>7058791</v>
      </c>
      <c r="F16" s="807">
        <f aca="true" t="shared" si="6" ref="F16:O16">F11-SUM(F14,F15)</f>
        <v>0</v>
      </c>
      <c r="G16" s="807">
        <f>G11-SUM(G14)</f>
        <v>7058791</v>
      </c>
      <c r="H16" s="807">
        <f t="shared" si="6"/>
        <v>0</v>
      </c>
      <c r="I16" s="807">
        <f t="shared" si="6"/>
        <v>1275164</v>
      </c>
      <c r="J16" s="807">
        <f t="shared" si="6"/>
        <v>9538314</v>
      </c>
      <c r="K16" s="807">
        <f t="shared" si="6"/>
        <v>89644</v>
      </c>
      <c r="L16" s="807">
        <f t="shared" si="6"/>
        <v>0</v>
      </c>
      <c r="M16" s="807">
        <f t="shared" si="6"/>
        <v>0</v>
      </c>
      <c r="N16" s="807">
        <f t="shared" si="6"/>
        <v>0</v>
      </c>
      <c r="O16" s="807">
        <f t="shared" si="6"/>
        <v>38500</v>
      </c>
      <c r="P16" s="458"/>
      <c r="Q16" s="453"/>
    </row>
    <row r="17" spans="1:17" ht="21" customHeight="1">
      <c r="A17" s="508" t="s">
        <v>51</v>
      </c>
      <c r="B17" s="430" t="s">
        <v>137</v>
      </c>
      <c r="C17" s="806">
        <f t="shared" si="0"/>
        <v>65902819</v>
      </c>
      <c r="D17" s="815">
        <f aca="true" t="shared" si="7" ref="D17:O17">SUM(D18:D24)</f>
        <v>50618506</v>
      </c>
      <c r="E17" s="814">
        <f t="shared" si="2"/>
        <v>4924643</v>
      </c>
      <c r="F17" s="815">
        <f t="shared" si="7"/>
        <v>0</v>
      </c>
      <c r="G17" s="815">
        <f t="shared" si="7"/>
        <v>4924643</v>
      </c>
      <c r="H17" s="815">
        <f t="shared" si="7"/>
        <v>0</v>
      </c>
      <c r="I17" s="815">
        <f t="shared" si="7"/>
        <v>977934</v>
      </c>
      <c r="J17" s="815">
        <f t="shared" si="7"/>
        <v>9311063</v>
      </c>
      <c r="K17" s="815">
        <f t="shared" si="7"/>
        <v>32173</v>
      </c>
      <c r="L17" s="815">
        <f t="shared" si="7"/>
        <v>0</v>
      </c>
      <c r="M17" s="815">
        <f t="shared" si="7"/>
        <v>0</v>
      </c>
      <c r="N17" s="815">
        <f t="shared" si="7"/>
        <v>0</v>
      </c>
      <c r="O17" s="815">
        <f t="shared" si="7"/>
        <v>38500</v>
      </c>
      <c r="P17" s="458"/>
      <c r="Q17" s="453"/>
    </row>
    <row r="18" spans="1:17" ht="21" customHeight="1">
      <c r="A18" s="507" t="s">
        <v>53</v>
      </c>
      <c r="B18" s="429" t="s">
        <v>138</v>
      </c>
      <c r="C18" s="811">
        <f>SUM(C45+C69+C92+C116+C140+C163+C186+C209)</f>
        <v>5169068</v>
      </c>
      <c r="D18" s="406">
        <f>D45+D69+D92+D116+D140+D163+D186+D209</f>
        <v>3794908</v>
      </c>
      <c r="E18" s="816">
        <f t="shared" si="2"/>
        <v>703921</v>
      </c>
      <c r="F18" s="406">
        <f>F45+F69+F92+F116+F140+F163+F186+F209</f>
        <v>0</v>
      </c>
      <c r="G18" s="406">
        <f aca="true" t="shared" si="8" ref="G18:O18">G45+G69+G92+G116+G140+G163+G186+G209</f>
        <v>703921</v>
      </c>
      <c r="H18" s="406">
        <f t="shared" si="8"/>
        <v>0</v>
      </c>
      <c r="I18" s="406">
        <f t="shared" si="8"/>
        <v>535795</v>
      </c>
      <c r="J18" s="406">
        <f t="shared" si="8"/>
        <v>134444</v>
      </c>
      <c r="K18" s="406">
        <f t="shared" si="8"/>
        <v>0</v>
      </c>
      <c r="L18" s="406">
        <f t="shared" si="8"/>
        <v>0</v>
      </c>
      <c r="M18" s="406">
        <f t="shared" si="8"/>
        <v>0</v>
      </c>
      <c r="N18" s="406">
        <f t="shared" si="8"/>
        <v>0</v>
      </c>
      <c r="O18" s="406">
        <f t="shared" si="8"/>
        <v>0</v>
      </c>
      <c r="P18" s="456"/>
      <c r="Q18" s="414"/>
    </row>
    <row r="19" spans="1:17" ht="21" customHeight="1">
      <c r="A19" s="507" t="s">
        <v>54</v>
      </c>
      <c r="B19" s="429" t="s">
        <v>139</v>
      </c>
      <c r="C19" s="811">
        <f aca="true" t="shared" si="9" ref="C19:C24">SUM(C46+C70+C93+C117+C141+C164+C187+C210)</f>
        <v>2127032</v>
      </c>
      <c r="D19" s="406">
        <f aca="true" t="shared" si="10" ref="D19:D24">D46+D70+D93+D117+D141+D164+D187+D210</f>
        <v>2098006</v>
      </c>
      <c r="E19" s="816">
        <f t="shared" si="2"/>
        <v>28682</v>
      </c>
      <c r="F19" s="406">
        <f aca="true" t="shared" si="11" ref="F19:O24">F46+F70+F93+F117+F141+F164+F187+F210</f>
        <v>0</v>
      </c>
      <c r="G19" s="406">
        <f t="shared" si="11"/>
        <v>28682</v>
      </c>
      <c r="H19" s="406">
        <f t="shared" si="11"/>
        <v>0</v>
      </c>
      <c r="I19" s="406">
        <f t="shared" si="11"/>
        <v>0</v>
      </c>
      <c r="J19" s="406">
        <f t="shared" si="11"/>
        <v>344</v>
      </c>
      <c r="K19" s="406">
        <f t="shared" si="11"/>
        <v>0</v>
      </c>
      <c r="L19" s="406">
        <f t="shared" si="11"/>
        <v>0</v>
      </c>
      <c r="M19" s="406">
        <f t="shared" si="11"/>
        <v>0</v>
      </c>
      <c r="N19" s="406">
        <f t="shared" si="11"/>
        <v>0</v>
      </c>
      <c r="O19" s="406">
        <f t="shared" si="11"/>
        <v>0</v>
      </c>
      <c r="P19" s="456"/>
      <c r="Q19" s="414"/>
    </row>
    <row r="20" spans="1:17" ht="21" customHeight="1">
      <c r="A20" s="507" t="s">
        <v>140</v>
      </c>
      <c r="B20" s="429" t="s">
        <v>141</v>
      </c>
      <c r="C20" s="811">
        <f t="shared" si="9"/>
        <v>37746653</v>
      </c>
      <c r="D20" s="406">
        <f t="shared" si="10"/>
        <v>23865526</v>
      </c>
      <c r="E20" s="816">
        <f t="shared" si="2"/>
        <v>4192040</v>
      </c>
      <c r="F20" s="406">
        <f t="shared" si="11"/>
        <v>0</v>
      </c>
      <c r="G20" s="406">
        <f t="shared" si="11"/>
        <v>4192040</v>
      </c>
      <c r="H20" s="406">
        <f t="shared" si="11"/>
        <v>0</v>
      </c>
      <c r="I20" s="406">
        <f t="shared" si="11"/>
        <v>442139</v>
      </c>
      <c r="J20" s="406">
        <f t="shared" si="11"/>
        <v>9176275</v>
      </c>
      <c r="K20" s="406">
        <f t="shared" si="11"/>
        <v>32173</v>
      </c>
      <c r="L20" s="406">
        <f t="shared" si="11"/>
        <v>0</v>
      </c>
      <c r="M20" s="406">
        <f t="shared" si="11"/>
        <v>0</v>
      </c>
      <c r="N20" s="406">
        <f t="shared" si="11"/>
        <v>0</v>
      </c>
      <c r="O20" s="406">
        <f t="shared" si="11"/>
        <v>38500</v>
      </c>
      <c r="P20" s="456"/>
      <c r="Q20" s="414"/>
    </row>
    <row r="21" spans="1:17" ht="21" customHeight="1">
      <c r="A21" s="507" t="s">
        <v>142</v>
      </c>
      <c r="B21" s="429" t="s">
        <v>143</v>
      </c>
      <c r="C21" s="811">
        <f t="shared" si="9"/>
        <v>18801066</v>
      </c>
      <c r="D21" s="406">
        <f t="shared" si="10"/>
        <v>18801066</v>
      </c>
      <c r="E21" s="816">
        <f t="shared" si="2"/>
        <v>0</v>
      </c>
      <c r="F21" s="406">
        <f t="shared" si="11"/>
        <v>0</v>
      </c>
      <c r="G21" s="406">
        <f t="shared" si="11"/>
        <v>0</v>
      </c>
      <c r="H21" s="406">
        <f t="shared" si="11"/>
        <v>0</v>
      </c>
      <c r="I21" s="406">
        <f t="shared" si="11"/>
        <v>0</v>
      </c>
      <c r="J21" s="406">
        <f t="shared" si="11"/>
        <v>0</v>
      </c>
      <c r="K21" s="406">
        <f t="shared" si="11"/>
        <v>0</v>
      </c>
      <c r="L21" s="406">
        <f t="shared" si="11"/>
        <v>0</v>
      </c>
      <c r="M21" s="406">
        <f t="shared" si="11"/>
        <v>0</v>
      </c>
      <c r="N21" s="406">
        <f t="shared" si="11"/>
        <v>0</v>
      </c>
      <c r="O21" s="406">
        <f t="shared" si="11"/>
        <v>0</v>
      </c>
      <c r="P21" s="456"/>
      <c r="Q21" s="414"/>
    </row>
    <row r="22" spans="1:17" ht="21" customHeight="1">
      <c r="A22" s="507" t="s">
        <v>144</v>
      </c>
      <c r="B22" s="429" t="s">
        <v>145</v>
      </c>
      <c r="C22" s="811">
        <f t="shared" si="9"/>
        <v>1880000</v>
      </c>
      <c r="D22" s="406">
        <f t="shared" si="10"/>
        <v>1880000</v>
      </c>
      <c r="E22" s="816">
        <f t="shared" si="2"/>
        <v>0</v>
      </c>
      <c r="F22" s="406">
        <f t="shared" si="11"/>
        <v>0</v>
      </c>
      <c r="G22" s="406">
        <f t="shared" si="11"/>
        <v>0</v>
      </c>
      <c r="H22" s="406">
        <f t="shared" si="11"/>
        <v>0</v>
      </c>
      <c r="I22" s="406">
        <f t="shared" si="11"/>
        <v>0</v>
      </c>
      <c r="J22" s="406">
        <f t="shared" si="11"/>
        <v>0</v>
      </c>
      <c r="K22" s="406">
        <f t="shared" si="11"/>
        <v>0</v>
      </c>
      <c r="L22" s="406">
        <f t="shared" si="11"/>
        <v>0</v>
      </c>
      <c r="M22" s="406">
        <f t="shared" si="11"/>
        <v>0</v>
      </c>
      <c r="N22" s="406">
        <f t="shared" si="11"/>
        <v>0</v>
      </c>
      <c r="O22" s="406">
        <f t="shared" si="11"/>
        <v>0</v>
      </c>
      <c r="P22" s="456"/>
      <c r="Q22" s="414"/>
    </row>
    <row r="23" spans="1:17" ht="25.5">
      <c r="A23" s="507" t="s">
        <v>146</v>
      </c>
      <c r="B23" s="431" t="s">
        <v>147</v>
      </c>
      <c r="C23" s="811">
        <f t="shared" si="9"/>
        <v>0</v>
      </c>
      <c r="D23" s="406">
        <f t="shared" si="10"/>
        <v>0</v>
      </c>
      <c r="E23" s="816">
        <f>SUM(F23:G23)</f>
        <v>0</v>
      </c>
      <c r="F23" s="406">
        <f t="shared" si="11"/>
        <v>0</v>
      </c>
      <c r="G23" s="406">
        <f t="shared" si="11"/>
        <v>0</v>
      </c>
      <c r="H23" s="406">
        <f t="shared" si="11"/>
        <v>0</v>
      </c>
      <c r="I23" s="406">
        <f t="shared" si="11"/>
        <v>0</v>
      </c>
      <c r="J23" s="406">
        <f t="shared" si="11"/>
        <v>0</v>
      </c>
      <c r="K23" s="406">
        <f t="shared" si="11"/>
        <v>0</v>
      </c>
      <c r="L23" s="406">
        <f t="shared" si="11"/>
        <v>0</v>
      </c>
      <c r="M23" s="406">
        <f t="shared" si="11"/>
        <v>0</v>
      </c>
      <c r="N23" s="406">
        <f t="shared" si="11"/>
        <v>0</v>
      </c>
      <c r="O23" s="406">
        <f t="shared" si="11"/>
        <v>0</v>
      </c>
      <c r="P23" s="456"/>
      <c r="Q23" s="414"/>
    </row>
    <row r="24" spans="1:17" ht="21" customHeight="1">
      <c r="A24" s="507" t="s">
        <v>148</v>
      </c>
      <c r="B24" s="429" t="s">
        <v>149</v>
      </c>
      <c r="C24" s="811">
        <f t="shared" si="9"/>
        <v>179000</v>
      </c>
      <c r="D24" s="406">
        <f t="shared" si="10"/>
        <v>179000</v>
      </c>
      <c r="E24" s="816">
        <f t="shared" si="2"/>
        <v>0</v>
      </c>
      <c r="F24" s="406">
        <f t="shared" si="11"/>
        <v>0</v>
      </c>
      <c r="G24" s="406">
        <f t="shared" si="11"/>
        <v>0</v>
      </c>
      <c r="H24" s="406">
        <f t="shared" si="11"/>
        <v>0</v>
      </c>
      <c r="I24" s="406">
        <f t="shared" si="11"/>
        <v>0</v>
      </c>
      <c r="J24" s="406">
        <f t="shared" si="11"/>
        <v>0</v>
      </c>
      <c r="K24" s="406">
        <f t="shared" si="11"/>
        <v>0</v>
      </c>
      <c r="L24" s="406">
        <f t="shared" si="11"/>
        <v>0</v>
      </c>
      <c r="M24" s="406">
        <f t="shared" si="11"/>
        <v>0</v>
      </c>
      <c r="N24" s="406">
        <f t="shared" si="11"/>
        <v>0</v>
      </c>
      <c r="O24" s="406">
        <f t="shared" si="11"/>
        <v>0</v>
      </c>
      <c r="P24" s="456"/>
      <c r="Q24" s="414"/>
    </row>
    <row r="25" spans="1:17" ht="21" customHeight="1">
      <c r="A25" s="508" t="s">
        <v>52</v>
      </c>
      <c r="B25" s="394" t="s">
        <v>150</v>
      </c>
      <c r="C25" s="823">
        <f>C16-C17</f>
        <v>26408792</v>
      </c>
      <c r="D25" s="823">
        <f>D16-D17</f>
        <v>23692692</v>
      </c>
      <c r="E25" s="823">
        <f aca="true" t="shared" si="12" ref="E25:O25">E16-E17</f>
        <v>2134148</v>
      </c>
      <c r="F25" s="823">
        <f t="shared" si="12"/>
        <v>0</v>
      </c>
      <c r="G25" s="823">
        <f t="shared" si="12"/>
        <v>2134148</v>
      </c>
      <c r="H25" s="823">
        <f t="shared" si="12"/>
        <v>0</v>
      </c>
      <c r="I25" s="823">
        <f t="shared" si="12"/>
        <v>297230</v>
      </c>
      <c r="J25" s="823">
        <f t="shared" si="12"/>
        <v>227251</v>
      </c>
      <c r="K25" s="823">
        <f t="shared" si="12"/>
        <v>57471</v>
      </c>
      <c r="L25" s="823">
        <f t="shared" si="12"/>
        <v>0</v>
      </c>
      <c r="M25" s="823">
        <f t="shared" si="12"/>
        <v>0</v>
      </c>
      <c r="N25" s="823">
        <f t="shared" si="12"/>
        <v>0</v>
      </c>
      <c r="O25" s="823">
        <f t="shared" si="12"/>
        <v>0</v>
      </c>
      <c r="P25" s="456"/>
      <c r="Q25" s="414"/>
    </row>
    <row r="26" spans="1:17" ht="26.25">
      <c r="A26" s="534" t="s">
        <v>540</v>
      </c>
      <c r="B26" s="470" t="s">
        <v>151</v>
      </c>
      <c r="C26" s="532">
        <f>(C18+C19)/C17</f>
        <v>0.11070998343788602</v>
      </c>
      <c r="D26" s="533">
        <f aca="true" t="shared" si="13" ref="D26:O26">(D18+D19)/D17</f>
        <v>0.11641817322700121</v>
      </c>
      <c r="E26" s="532">
        <f t="shared" si="13"/>
        <v>0.14876266157770218</v>
      </c>
      <c r="F26" s="533" t="e">
        <f t="shared" si="13"/>
        <v>#DIV/0!</v>
      </c>
      <c r="G26" s="533">
        <f t="shared" si="13"/>
        <v>0.14876266157770218</v>
      </c>
      <c r="H26" s="533" t="e">
        <f t="shared" si="13"/>
        <v>#DIV/0!</v>
      </c>
      <c r="I26" s="533">
        <f t="shared" si="13"/>
        <v>0.5478846220706101</v>
      </c>
      <c r="J26" s="533">
        <f t="shared" si="13"/>
        <v>0.01447611298516614</v>
      </c>
      <c r="K26" s="533">
        <f t="shared" si="13"/>
        <v>0</v>
      </c>
      <c r="L26" s="533" t="e">
        <f t="shared" si="13"/>
        <v>#DIV/0!</v>
      </c>
      <c r="M26" s="533" t="e">
        <f t="shared" si="13"/>
        <v>#DIV/0!</v>
      </c>
      <c r="N26" s="533" t="e">
        <f t="shared" si="13"/>
        <v>#DIV/0!</v>
      </c>
      <c r="O26" s="533">
        <f t="shared" si="13"/>
        <v>0</v>
      </c>
      <c r="P26" s="456"/>
      <c r="Q26" s="414"/>
    </row>
    <row r="27" ht="15"/>
    <row r="28" ht="19.5" customHeight="1"/>
    <row r="29" ht="20.25" customHeight="1"/>
    <row r="30" ht="0.75" customHeight="1" hidden="1"/>
    <row r="31" ht="0.75" customHeight="1" hidden="1"/>
    <row r="32" ht="15" hidden="1">
      <c r="B32" s="904" t="s">
        <v>748</v>
      </c>
    </row>
    <row r="33" spans="1:15" ht="15" hidden="1">
      <c r="A33" s="1478" t="s">
        <v>68</v>
      </c>
      <c r="B33" s="1479"/>
      <c r="C33" s="1487" t="s">
        <v>37</v>
      </c>
      <c r="D33" s="1487" t="s">
        <v>335</v>
      </c>
      <c r="E33" s="1488"/>
      <c r="F33" s="1488"/>
      <c r="G33" s="1488"/>
      <c r="H33" s="1488"/>
      <c r="I33" s="1488"/>
      <c r="J33" s="1488"/>
      <c r="K33" s="1488"/>
      <c r="L33" s="1488"/>
      <c r="M33" s="1488"/>
      <c r="N33" s="1488"/>
      <c r="O33" s="1489"/>
    </row>
    <row r="34" spans="1:15" ht="15" hidden="1">
      <c r="A34" s="1480"/>
      <c r="B34" s="1481"/>
      <c r="C34" s="1501"/>
      <c r="D34" s="1491" t="s">
        <v>119</v>
      </c>
      <c r="E34" s="1498" t="s">
        <v>120</v>
      </c>
      <c r="F34" s="1499"/>
      <c r="G34" s="1500"/>
      <c r="H34" s="1474" t="s">
        <v>121</v>
      </c>
      <c r="I34" s="1474" t="s">
        <v>122</v>
      </c>
      <c r="J34" s="1474" t="s">
        <v>198</v>
      </c>
      <c r="K34" s="1474" t="s">
        <v>124</v>
      </c>
      <c r="L34" s="1474" t="s">
        <v>125</v>
      </c>
      <c r="M34" s="1474" t="s">
        <v>126</v>
      </c>
      <c r="N34" s="1474" t="s">
        <v>183</v>
      </c>
      <c r="O34" s="1474" t="s">
        <v>127</v>
      </c>
    </row>
    <row r="35" spans="1:15" ht="15" hidden="1">
      <c r="A35" s="1480"/>
      <c r="B35" s="1481"/>
      <c r="C35" s="1501"/>
      <c r="D35" s="1491"/>
      <c r="E35" s="1473" t="s">
        <v>36</v>
      </c>
      <c r="F35" s="1476" t="s">
        <v>7</v>
      </c>
      <c r="G35" s="1477"/>
      <c r="H35" s="1474"/>
      <c r="I35" s="1474"/>
      <c r="J35" s="1474"/>
      <c r="K35" s="1474"/>
      <c r="L35" s="1474"/>
      <c r="M35" s="1474"/>
      <c r="N35" s="1474"/>
      <c r="O35" s="1474"/>
    </row>
    <row r="36" spans="1:15" ht="15" hidden="1">
      <c r="A36" s="1482"/>
      <c r="B36" s="1483"/>
      <c r="C36" s="1501"/>
      <c r="D36" s="1492"/>
      <c r="E36" s="1475"/>
      <c r="F36" s="559" t="s">
        <v>199</v>
      </c>
      <c r="G36" s="560" t="s">
        <v>200</v>
      </c>
      <c r="H36" s="1475"/>
      <c r="I36" s="1475"/>
      <c r="J36" s="1475"/>
      <c r="K36" s="1475"/>
      <c r="L36" s="1475"/>
      <c r="M36" s="1475"/>
      <c r="N36" s="1475"/>
      <c r="O36" s="1475"/>
    </row>
    <row r="37" spans="1:15" ht="15" hidden="1">
      <c r="A37" s="1471" t="s">
        <v>39</v>
      </c>
      <c r="B37" s="1472"/>
      <c r="C37" s="505">
        <v>1</v>
      </c>
      <c r="D37" s="505">
        <v>2</v>
      </c>
      <c r="E37" s="505">
        <v>3</v>
      </c>
      <c r="F37" s="505">
        <v>4</v>
      </c>
      <c r="G37" s="505">
        <v>5</v>
      </c>
      <c r="H37" s="505">
        <v>6</v>
      </c>
      <c r="I37" s="505">
        <v>7</v>
      </c>
      <c r="J37" s="505">
        <v>8</v>
      </c>
      <c r="K37" s="505">
        <v>9</v>
      </c>
      <c r="L37" s="505">
        <v>10</v>
      </c>
      <c r="M37" s="505">
        <v>11</v>
      </c>
      <c r="N37" s="505">
        <v>12</v>
      </c>
      <c r="O37" s="505">
        <v>13</v>
      </c>
    </row>
    <row r="38" spans="1:15" ht="15" hidden="1">
      <c r="A38" s="506" t="s">
        <v>0</v>
      </c>
      <c r="B38" s="427" t="s">
        <v>130</v>
      </c>
      <c r="C38" s="806">
        <f aca="true" t="shared" si="14" ref="C38:C51">SUM(D38,E38,H38:O38)</f>
        <v>8955123</v>
      </c>
      <c r="D38" s="814">
        <f>SUM(D39:D40)</f>
        <v>3069807</v>
      </c>
      <c r="E38" s="814">
        <f aca="true" t="shared" si="15" ref="E38:J38">SUM(E39:E40)</f>
        <v>5845301</v>
      </c>
      <c r="F38" s="814">
        <f t="shared" si="15"/>
        <v>0</v>
      </c>
      <c r="G38" s="814">
        <f t="shared" si="15"/>
        <v>5845301</v>
      </c>
      <c r="H38" s="814">
        <f t="shared" si="15"/>
        <v>0</v>
      </c>
      <c r="I38" s="814">
        <f t="shared" si="15"/>
        <v>0</v>
      </c>
      <c r="J38" s="814">
        <f t="shared" si="15"/>
        <v>40015</v>
      </c>
      <c r="K38" s="814">
        <f>SUM(K39:K40)</f>
        <v>0</v>
      </c>
      <c r="L38" s="814">
        <f>SUM(L39:L40)</f>
        <v>0</v>
      </c>
      <c r="M38" s="814">
        <f>SUM(M39:M40)</f>
        <v>0</v>
      </c>
      <c r="N38" s="814">
        <f>SUM(N39:N40)</f>
        <v>0</v>
      </c>
      <c r="O38" s="814">
        <f>SUM(O39:O40)</f>
        <v>0</v>
      </c>
    </row>
    <row r="39" spans="1:15" ht="15.75" hidden="1">
      <c r="A39" s="507">
        <v>1</v>
      </c>
      <c r="B39" s="429" t="s">
        <v>131</v>
      </c>
      <c r="C39" s="811">
        <f t="shared" si="14"/>
        <v>3865022</v>
      </c>
      <c r="D39" s="822">
        <v>3069807</v>
      </c>
      <c r="E39" s="816">
        <f aca="true" t="shared" si="16" ref="E39:E49">SUM(F39:G39)</f>
        <v>775851</v>
      </c>
      <c r="F39" s="822">
        <v>0</v>
      </c>
      <c r="G39" s="822">
        <v>775851</v>
      </c>
      <c r="H39" s="822">
        <v>0</v>
      </c>
      <c r="I39" s="822">
        <v>0</v>
      </c>
      <c r="J39" s="822">
        <v>19364</v>
      </c>
      <c r="K39" s="822">
        <v>0</v>
      </c>
      <c r="L39" s="822">
        <v>0</v>
      </c>
      <c r="M39" s="822">
        <v>0</v>
      </c>
      <c r="N39" s="1036">
        <v>0</v>
      </c>
      <c r="O39" s="1036">
        <v>0</v>
      </c>
    </row>
    <row r="40" spans="1:15" ht="15.75" hidden="1">
      <c r="A40" s="507">
        <v>2</v>
      </c>
      <c r="B40" s="429" t="s">
        <v>132</v>
      </c>
      <c r="C40" s="811">
        <f t="shared" si="14"/>
        <v>5090101</v>
      </c>
      <c r="D40" s="822">
        <v>0</v>
      </c>
      <c r="E40" s="816">
        <f t="shared" si="16"/>
        <v>5069450</v>
      </c>
      <c r="F40" s="822">
        <v>0</v>
      </c>
      <c r="G40" s="822">
        <v>5069450</v>
      </c>
      <c r="H40" s="822">
        <v>0</v>
      </c>
      <c r="I40" s="822">
        <v>0</v>
      </c>
      <c r="J40" s="822">
        <v>20651</v>
      </c>
      <c r="K40" s="822">
        <v>0</v>
      </c>
      <c r="L40" s="822">
        <v>0</v>
      </c>
      <c r="M40" s="822">
        <v>0</v>
      </c>
      <c r="N40" s="1036">
        <v>0</v>
      </c>
      <c r="O40" s="1036">
        <v>0</v>
      </c>
    </row>
    <row r="41" spans="1:15" ht="15.75" hidden="1">
      <c r="A41" s="508" t="s">
        <v>1</v>
      </c>
      <c r="B41" s="394" t="s">
        <v>133</v>
      </c>
      <c r="C41" s="811">
        <f t="shared" si="14"/>
        <v>890434</v>
      </c>
      <c r="D41" s="822">
        <v>0</v>
      </c>
      <c r="E41" s="816">
        <f t="shared" si="16"/>
        <v>890434</v>
      </c>
      <c r="F41" s="822">
        <v>0</v>
      </c>
      <c r="G41" s="822">
        <v>890434</v>
      </c>
      <c r="H41" s="822">
        <v>0</v>
      </c>
      <c r="I41" s="822">
        <v>0</v>
      </c>
      <c r="J41" s="822">
        <v>0</v>
      </c>
      <c r="K41" s="822">
        <v>0</v>
      </c>
      <c r="L41" s="822">
        <v>0</v>
      </c>
      <c r="M41" s="822">
        <v>0</v>
      </c>
      <c r="N41" s="1036">
        <v>0</v>
      </c>
      <c r="O41" s="1036">
        <v>0</v>
      </c>
    </row>
    <row r="42" spans="1:15" ht="15.75" hidden="1">
      <c r="A42" s="508" t="s">
        <v>9</v>
      </c>
      <c r="B42" s="394" t="s">
        <v>134</v>
      </c>
      <c r="C42" s="811">
        <f t="shared" si="14"/>
        <v>0</v>
      </c>
      <c r="D42" s="818"/>
      <c r="E42" s="816">
        <f t="shared" si="16"/>
        <v>0</v>
      </c>
      <c r="F42" s="818"/>
      <c r="G42" s="818"/>
      <c r="H42" s="818"/>
      <c r="I42" s="818"/>
      <c r="J42" s="818"/>
      <c r="K42" s="818"/>
      <c r="L42" s="818"/>
      <c r="M42" s="818"/>
      <c r="N42" s="818"/>
      <c r="O42" s="818"/>
    </row>
    <row r="43" spans="1:15" ht="15" hidden="1">
      <c r="A43" s="508" t="s">
        <v>135</v>
      </c>
      <c r="B43" s="394" t="s">
        <v>136</v>
      </c>
      <c r="C43" s="806">
        <f t="shared" si="14"/>
        <v>8064689</v>
      </c>
      <c r="D43" s="807">
        <f>D38-SUM(D41,D42)</f>
        <v>3069807</v>
      </c>
      <c r="E43" s="814">
        <f t="shared" si="16"/>
        <v>4954867</v>
      </c>
      <c r="F43" s="807">
        <f aca="true" t="shared" si="17" ref="F43:O43">F38-SUM(F41,F42)</f>
        <v>0</v>
      </c>
      <c r="G43" s="807">
        <f t="shared" si="17"/>
        <v>4954867</v>
      </c>
      <c r="H43" s="807">
        <f t="shared" si="17"/>
        <v>0</v>
      </c>
      <c r="I43" s="807">
        <f t="shared" si="17"/>
        <v>0</v>
      </c>
      <c r="J43" s="807">
        <f t="shared" si="17"/>
        <v>40015</v>
      </c>
      <c r="K43" s="807">
        <f t="shared" si="17"/>
        <v>0</v>
      </c>
      <c r="L43" s="807">
        <f t="shared" si="17"/>
        <v>0</v>
      </c>
      <c r="M43" s="807">
        <f t="shared" si="17"/>
        <v>0</v>
      </c>
      <c r="N43" s="807">
        <f t="shared" si="17"/>
        <v>0</v>
      </c>
      <c r="O43" s="807">
        <f t="shared" si="17"/>
        <v>0</v>
      </c>
    </row>
    <row r="44" spans="1:15" ht="15" hidden="1">
      <c r="A44" s="508" t="s">
        <v>51</v>
      </c>
      <c r="B44" s="430" t="s">
        <v>137</v>
      </c>
      <c r="C44" s="806">
        <f t="shared" si="14"/>
        <v>7429294</v>
      </c>
      <c r="D44" s="815">
        <f>SUM(D45:D51)</f>
        <v>3069807</v>
      </c>
      <c r="E44" s="814">
        <f t="shared" si="16"/>
        <v>4338836</v>
      </c>
      <c r="F44" s="815">
        <f aca="true" t="shared" si="18" ref="F44:O44">SUM(F45:F51)</f>
        <v>0</v>
      </c>
      <c r="G44" s="815">
        <f t="shared" si="18"/>
        <v>4338836</v>
      </c>
      <c r="H44" s="815">
        <f t="shared" si="18"/>
        <v>0</v>
      </c>
      <c r="I44" s="815">
        <f t="shared" si="18"/>
        <v>0</v>
      </c>
      <c r="J44" s="815">
        <f t="shared" si="18"/>
        <v>20651</v>
      </c>
      <c r="K44" s="815">
        <f t="shared" si="18"/>
        <v>0</v>
      </c>
      <c r="L44" s="815">
        <f t="shared" si="18"/>
        <v>0</v>
      </c>
      <c r="M44" s="815">
        <f t="shared" si="18"/>
        <v>0</v>
      </c>
      <c r="N44" s="815">
        <f t="shared" si="18"/>
        <v>0</v>
      </c>
      <c r="O44" s="815">
        <f t="shared" si="18"/>
        <v>0</v>
      </c>
    </row>
    <row r="45" spans="1:15" ht="15.75" hidden="1">
      <c r="A45" s="507" t="s">
        <v>53</v>
      </c>
      <c r="B45" s="429" t="s">
        <v>138</v>
      </c>
      <c r="C45" s="811">
        <f t="shared" si="14"/>
        <v>581798</v>
      </c>
      <c r="D45" s="822">
        <v>60000</v>
      </c>
      <c r="E45" s="816">
        <f t="shared" si="16"/>
        <v>521798</v>
      </c>
      <c r="F45" s="822">
        <v>0</v>
      </c>
      <c r="G45" s="822">
        <v>521798</v>
      </c>
      <c r="H45" s="822">
        <v>0</v>
      </c>
      <c r="I45" s="822">
        <v>0</v>
      </c>
      <c r="J45" s="822">
        <v>0</v>
      </c>
      <c r="K45" s="822">
        <v>0</v>
      </c>
      <c r="L45" s="822">
        <v>0</v>
      </c>
      <c r="M45" s="1036">
        <v>0</v>
      </c>
      <c r="N45" s="1036">
        <v>0</v>
      </c>
      <c r="O45" s="1036">
        <v>0</v>
      </c>
    </row>
    <row r="46" spans="1:15" ht="15.75" hidden="1">
      <c r="A46" s="507" t="s">
        <v>54</v>
      </c>
      <c r="B46" s="429" t="s">
        <v>139</v>
      </c>
      <c r="C46" s="811">
        <f t="shared" si="14"/>
        <v>0</v>
      </c>
      <c r="D46" s="822">
        <v>0</v>
      </c>
      <c r="E46" s="816">
        <f t="shared" si="16"/>
        <v>0</v>
      </c>
      <c r="F46" s="822">
        <v>0</v>
      </c>
      <c r="G46" s="822">
        <v>0</v>
      </c>
      <c r="H46" s="822">
        <v>0</v>
      </c>
      <c r="I46" s="822">
        <v>0</v>
      </c>
      <c r="J46" s="822">
        <v>0</v>
      </c>
      <c r="K46" s="822">
        <v>0</v>
      </c>
      <c r="L46" s="822">
        <v>0</v>
      </c>
      <c r="M46" s="1036">
        <v>0</v>
      </c>
      <c r="N46" s="1036">
        <v>0</v>
      </c>
      <c r="O46" s="1036">
        <v>0</v>
      </c>
    </row>
    <row r="47" spans="1:15" ht="15.75" hidden="1">
      <c r="A47" s="507" t="s">
        <v>140</v>
      </c>
      <c r="B47" s="429" t="s">
        <v>141</v>
      </c>
      <c r="C47" s="811">
        <f t="shared" si="14"/>
        <v>6847496</v>
      </c>
      <c r="D47" s="822">
        <v>3009807</v>
      </c>
      <c r="E47" s="816">
        <f t="shared" si="16"/>
        <v>3817038</v>
      </c>
      <c r="F47" s="822">
        <v>0</v>
      </c>
      <c r="G47" s="822">
        <v>3817038</v>
      </c>
      <c r="H47" s="822">
        <v>0</v>
      </c>
      <c r="I47" s="822">
        <v>0</v>
      </c>
      <c r="J47" s="822">
        <v>20651</v>
      </c>
      <c r="K47" s="822">
        <v>0</v>
      </c>
      <c r="L47" s="822">
        <v>0</v>
      </c>
      <c r="M47" s="1036">
        <v>0</v>
      </c>
      <c r="N47" s="1036">
        <v>0</v>
      </c>
      <c r="O47" s="1036">
        <v>0</v>
      </c>
    </row>
    <row r="48" spans="1:15" ht="15.75" hidden="1">
      <c r="A48" s="507" t="s">
        <v>142</v>
      </c>
      <c r="B48" s="429" t="s">
        <v>143</v>
      </c>
      <c r="C48" s="811">
        <f t="shared" si="14"/>
        <v>0</v>
      </c>
      <c r="D48" s="822">
        <v>0</v>
      </c>
      <c r="E48" s="816">
        <f t="shared" si="16"/>
        <v>0</v>
      </c>
      <c r="F48" s="818"/>
      <c r="G48" s="818"/>
      <c r="H48" s="818"/>
      <c r="I48" s="818"/>
      <c r="J48" s="818"/>
      <c r="K48" s="818"/>
      <c r="L48" s="818"/>
      <c r="M48" s="818"/>
      <c r="N48" s="818"/>
      <c r="O48" s="818"/>
    </row>
    <row r="49" spans="1:15" ht="15.75" hidden="1">
      <c r="A49" s="507" t="s">
        <v>144</v>
      </c>
      <c r="B49" s="429" t="s">
        <v>145</v>
      </c>
      <c r="C49" s="811">
        <f t="shared" si="14"/>
        <v>0</v>
      </c>
      <c r="D49" s="822">
        <v>0</v>
      </c>
      <c r="E49" s="816">
        <f t="shared" si="16"/>
        <v>0</v>
      </c>
      <c r="F49" s="818"/>
      <c r="G49" s="818"/>
      <c r="H49" s="818"/>
      <c r="I49" s="818"/>
      <c r="J49" s="818"/>
      <c r="K49" s="818"/>
      <c r="L49" s="818"/>
      <c r="M49" s="818"/>
      <c r="N49" s="818"/>
      <c r="O49" s="818"/>
    </row>
    <row r="50" spans="1:15" ht="25.5" hidden="1">
      <c r="A50" s="507" t="s">
        <v>146</v>
      </c>
      <c r="B50" s="431" t="s">
        <v>147</v>
      </c>
      <c r="C50" s="811">
        <f t="shared" si="14"/>
        <v>0</v>
      </c>
      <c r="D50" s="822">
        <v>0</v>
      </c>
      <c r="E50" s="816">
        <f>SUM(F50:G50)</f>
        <v>0</v>
      </c>
      <c r="F50" s="818"/>
      <c r="G50" s="818"/>
      <c r="H50" s="818"/>
      <c r="I50" s="818"/>
      <c r="J50" s="818"/>
      <c r="K50" s="818"/>
      <c r="L50" s="818"/>
      <c r="M50" s="818"/>
      <c r="N50" s="818"/>
      <c r="O50" s="818"/>
    </row>
    <row r="51" spans="1:15" ht="15.75" hidden="1">
      <c r="A51" s="507" t="s">
        <v>148</v>
      </c>
      <c r="B51" s="429" t="s">
        <v>149</v>
      </c>
      <c r="C51" s="811">
        <f t="shared" si="14"/>
        <v>0</v>
      </c>
      <c r="D51" s="818">
        <v>0</v>
      </c>
      <c r="E51" s="816">
        <f>SUM(F51:G51)</f>
        <v>0</v>
      </c>
      <c r="F51" s="818"/>
      <c r="G51" s="818"/>
      <c r="H51" s="818"/>
      <c r="I51" s="818"/>
      <c r="J51" s="818"/>
      <c r="K51" s="818"/>
      <c r="L51" s="818"/>
      <c r="M51" s="818"/>
      <c r="N51" s="818"/>
      <c r="O51" s="818"/>
    </row>
    <row r="52" spans="1:15" ht="15" hidden="1">
      <c r="A52" s="508" t="s">
        <v>52</v>
      </c>
      <c r="B52" s="394" t="s">
        <v>150</v>
      </c>
      <c r="C52" s="823">
        <f>C38-C41-C42-C44</f>
        <v>635395</v>
      </c>
      <c r="D52" s="823">
        <f>D43-D44</f>
        <v>0</v>
      </c>
      <c r="E52" s="823">
        <f aca="true" t="shared" si="19" ref="E52:O52">E43-E44</f>
        <v>616031</v>
      </c>
      <c r="F52" s="823">
        <f t="shared" si="19"/>
        <v>0</v>
      </c>
      <c r="G52" s="823">
        <f t="shared" si="19"/>
        <v>616031</v>
      </c>
      <c r="H52" s="823">
        <f t="shared" si="19"/>
        <v>0</v>
      </c>
      <c r="I52" s="823">
        <f t="shared" si="19"/>
        <v>0</v>
      </c>
      <c r="J52" s="823">
        <f t="shared" si="19"/>
        <v>19364</v>
      </c>
      <c r="K52" s="823">
        <f t="shared" si="19"/>
        <v>0</v>
      </c>
      <c r="L52" s="823">
        <f t="shared" si="19"/>
        <v>0</v>
      </c>
      <c r="M52" s="823">
        <f t="shared" si="19"/>
        <v>0</v>
      </c>
      <c r="N52" s="823">
        <f t="shared" si="19"/>
        <v>0</v>
      </c>
      <c r="O52" s="823">
        <f t="shared" si="19"/>
        <v>0</v>
      </c>
    </row>
    <row r="53" spans="1:15" ht="25.5" hidden="1">
      <c r="A53" s="534" t="s">
        <v>540</v>
      </c>
      <c r="B53" s="470" t="s">
        <v>151</v>
      </c>
      <c r="C53" s="532">
        <f>(C45+C46)/C44</f>
        <v>0.07831134425424542</v>
      </c>
      <c r="D53" s="533">
        <f aca="true" t="shared" si="20" ref="D53:O53">(D45+D46)/D44</f>
        <v>0.01954520267886548</v>
      </c>
      <c r="E53" s="532">
        <f t="shared" si="20"/>
        <v>0.12026220857391245</v>
      </c>
      <c r="F53" s="533" t="e">
        <f t="shared" si="20"/>
        <v>#DIV/0!</v>
      </c>
      <c r="G53" s="533">
        <f t="shared" si="20"/>
        <v>0.12026220857391245</v>
      </c>
      <c r="H53" s="533" t="e">
        <f t="shared" si="20"/>
        <v>#DIV/0!</v>
      </c>
      <c r="I53" s="533" t="e">
        <f t="shared" si="20"/>
        <v>#DIV/0!</v>
      </c>
      <c r="J53" s="533">
        <f t="shared" si="20"/>
        <v>0</v>
      </c>
      <c r="K53" s="533" t="e">
        <f t="shared" si="20"/>
        <v>#DIV/0!</v>
      </c>
      <c r="L53" s="533" t="e">
        <f t="shared" si="20"/>
        <v>#DIV/0!</v>
      </c>
      <c r="M53" s="533" t="e">
        <f t="shared" si="20"/>
        <v>#DIV/0!</v>
      </c>
      <c r="N53" s="533" t="e">
        <f t="shared" si="20"/>
        <v>#DIV/0!</v>
      </c>
      <c r="O53" s="533" t="e">
        <f t="shared" si="20"/>
        <v>#DIV/0!</v>
      </c>
    </row>
    <row r="54" ht="15" hidden="1"/>
    <row r="55" ht="15" hidden="1">
      <c r="B55" s="904" t="s">
        <v>749</v>
      </c>
    </row>
    <row r="56" ht="15" hidden="1"/>
    <row r="57" spans="1:15" ht="15" hidden="1">
      <c r="A57" s="1478" t="s">
        <v>68</v>
      </c>
      <c r="B57" s="1479"/>
      <c r="C57" s="1487" t="s">
        <v>37</v>
      </c>
      <c r="D57" s="1487" t="s">
        <v>335</v>
      </c>
      <c r="E57" s="1488"/>
      <c r="F57" s="1488"/>
      <c r="G57" s="1488"/>
      <c r="H57" s="1488"/>
      <c r="I57" s="1488"/>
      <c r="J57" s="1488"/>
      <c r="K57" s="1488"/>
      <c r="L57" s="1488"/>
      <c r="M57" s="1488"/>
      <c r="N57" s="1488"/>
      <c r="O57" s="1489"/>
    </row>
    <row r="58" spans="1:15" ht="15" hidden="1">
      <c r="A58" s="1480"/>
      <c r="B58" s="1481"/>
      <c r="C58" s="1501"/>
      <c r="D58" s="1491" t="s">
        <v>119</v>
      </c>
      <c r="E58" s="1498" t="s">
        <v>120</v>
      </c>
      <c r="F58" s="1499"/>
      <c r="G58" s="1500"/>
      <c r="H58" s="1474" t="s">
        <v>121</v>
      </c>
      <c r="I58" s="1474" t="s">
        <v>122</v>
      </c>
      <c r="J58" s="1474" t="s">
        <v>198</v>
      </c>
      <c r="K58" s="1474" t="s">
        <v>124</v>
      </c>
      <c r="L58" s="1474" t="s">
        <v>125</v>
      </c>
      <c r="M58" s="1474" t="s">
        <v>126</v>
      </c>
      <c r="N58" s="1474" t="s">
        <v>183</v>
      </c>
      <c r="O58" s="1474" t="s">
        <v>127</v>
      </c>
    </row>
    <row r="59" spans="1:15" ht="15" hidden="1">
      <c r="A59" s="1480"/>
      <c r="B59" s="1481"/>
      <c r="C59" s="1501"/>
      <c r="D59" s="1491"/>
      <c r="E59" s="1473" t="s">
        <v>36</v>
      </c>
      <c r="F59" s="1476" t="s">
        <v>7</v>
      </c>
      <c r="G59" s="1477"/>
      <c r="H59" s="1474"/>
      <c r="I59" s="1474"/>
      <c r="J59" s="1474"/>
      <c r="K59" s="1474"/>
      <c r="L59" s="1474"/>
      <c r="M59" s="1474"/>
      <c r="N59" s="1474"/>
      <c r="O59" s="1474"/>
    </row>
    <row r="60" spans="1:15" ht="15" hidden="1">
      <c r="A60" s="1482"/>
      <c r="B60" s="1483"/>
      <c r="C60" s="1501"/>
      <c r="D60" s="1492"/>
      <c r="E60" s="1475"/>
      <c r="F60" s="559" t="s">
        <v>199</v>
      </c>
      <c r="G60" s="560" t="s">
        <v>200</v>
      </c>
      <c r="H60" s="1475"/>
      <c r="I60" s="1475"/>
      <c r="J60" s="1475"/>
      <c r="K60" s="1475"/>
      <c r="L60" s="1475"/>
      <c r="M60" s="1475"/>
      <c r="N60" s="1475"/>
      <c r="O60" s="1475"/>
    </row>
    <row r="61" spans="1:15" ht="15" hidden="1">
      <c r="A61" s="1471" t="s">
        <v>39</v>
      </c>
      <c r="B61" s="1472"/>
      <c r="C61" s="505">
        <v>1</v>
      </c>
      <c r="D61" s="505">
        <v>2</v>
      </c>
      <c r="E61" s="505">
        <v>3</v>
      </c>
      <c r="F61" s="505">
        <v>4</v>
      </c>
      <c r="G61" s="505">
        <v>5</v>
      </c>
      <c r="H61" s="505">
        <v>6</v>
      </c>
      <c r="I61" s="505">
        <v>7</v>
      </c>
      <c r="J61" s="505">
        <v>8</v>
      </c>
      <c r="K61" s="505">
        <v>9</v>
      </c>
      <c r="L61" s="505">
        <v>10</v>
      </c>
      <c r="M61" s="505">
        <v>11</v>
      </c>
      <c r="N61" s="505">
        <v>12</v>
      </c>
      <c r="O61" s="505">
        <v>13</v>
      </c>
    </row>
    <row r="62" spans="1:15" ht="15" hidden="1">
      <c r="A62" s="506" t="s">
        <v>0</v>
      </c>
      <c r="B62" s="427" t="s">
        <v>130</v>
      </c>
      <c r="C62" s="806">
        <f aca="true" t="shared" si="21" ref="C62:C75">SUM(D62,E62,H62:O62)</f>
        <v>41732067</v>
      </c>
      <c r="D62" s="814">
        <f>SUM(D63:D64)</f>
        <v>40676388</v>
      </c>
      <c r="E62" s="814">
        <f aca="true" t="shared" si="22" ref="E62:J62">SUM(E63:E64)</f>
        <v>378875</v>
      </c>
      <c r="F62" s="814">
        <f t="shared" si="22"/>
        <v>0</v>
      </c>
      <c r="G62" s="814">
        <f t="shared" si="22"/>
        <v>378875</v>
      </c>
      <c r="H62" s="814">
        <f t="shared" si="22"/>
        <v>0</v>
      </c>
      <c r="I62" s="814">
        <f t="shared" si="22"/>
        <v>346779</v>
      </c>
      <c r="J62" s="814">
        <f t="shared" si="22"/>
        <v>201881</v>
      </c>
      <c r="K62" s="814">
        <f>SUM(K63:K64)</f>
        <v>89644</v>
      </c>
      <c r="L62" s="814">
        <f>SUM(L63:L64)</f>
        <v>0</v>
      </c>
      <c r="M62" s="814">
        <f>SUM(M63:M64)</f>
        <v>0</v>
      </c>
      <c r="N62" s="814">
        <f>SUM(N63:N64)</f>
        <v>0</v>
      </c>
      <c r="O62" s="814">
        <f>SUM(O63:O64)</f>
        <v>38500</v>
      </c>
    </row>
    <row r="63" spans="1:15" ht="15" hidden="1">
      <c r="A63" s="507">
        <v>1</v>
      </c>
      <c r="B63" s="429" t="s">
        <v>131</v>
      </c>
      <c r="C63" s="811">
        <f t="shared" si="21"/>
        <v>31767488</v>
      </c>
      <c r="D63" s="841">
        <v>31142813</v>
      </c>
      <c r="E63" s="816">
        <f aca="true" t="shared" si="23" ref="E63:E73">SUM(F63:G63)</f>
        <v>216117</v>
      </c>
      <c r="F63" s="841">
        <v>0</v>
      </c>
      <c r="G63" s="841">
        <v>216117</v>
      </c>
      <c r="H63" s="841">
        <v>0</v>
      </c>
      <c r="I63" s="841">
        <v>118175</v>
      </c>
      <c r="J63" s="841">
        <v>162239</v>
      </c>
      <c r="K63" s="841">
        <v>89644</v>
      </c>
      <c r="L63" s="841">
        <v>0</v>
      </c>
      <c r="M63" s="841">
        <v>0</v>
      </c>
      <c r="N63" s="841">
        <v>0</v>
      </c>
      <c r="O63" s="841">
        <v>38500</v>
      </c>
    </row>
    <row r="64" spans="1:15" ht="15" hidden="1">
      <c r="A64" s="507">
        <v>2</v>
      </c>
      <c r="B64" s="429" t="s">
        <v>132</v>
      </c>
      <c r="C64" s="811">
        <f t="shared" si="21"/>
        <v>9964579</v>
      </c>
      <c r="D64" s="841">
        <v>9533575</v>
      </c>
      <c r="E64" s="816">
        <f t="shared" si="23"/>
        <v>162758</v>
      </c>
      <c r="F64" s="841">
        <v>0</v>
      </c>
      <c r="G64" s="841">
        <v>162758</v>
      </c>
      <c r="H64" s="841">
        <v>0</v>
      </c>
      <c r="I64" s="841">
        <v>228604</v>
      </c>
      <c r="J64" s="841">
        <v>39642</v>
      </c>
      <c r="K64" s="841">
        <v>0</v>
      </c>
      <c r="L64" s="841">
        <v>0</v>
      </c>
      <c r="M64" s="841">
        <v>0</v>
      </c>
      <c r="N64" s="841">
        <v>0</v>
      </c>
      <c r="O64" s="841">
        <v>0</v>
      </c>
    </row>
    <row r="65" spans="1:15" ht="15" hidden="1">
      <c r="A65" s="508" t="s">
        <v>1</v>
      </c>
      <c r="B65" s="394" t="s">
        <v>133</v>
      </c>
      <c r="C65" s="811">
        <f t="shared" si="21"/>
        <v>379071</v>
      </c>
      <c r="D65" s="841">
        <v>273500</v>
      </c>
      <c r="E65" s="816">
        <f t="shared" si="23"/>
        <v>80570</v>
      </c>
      <c r="F65" s="841">
        <v>0</v>
      </c>
      <c r="G65" s="841">
        <v>80570</v>
      </c>
      <c r="H65" s="841">
        <v>0</v>
      </c>
      <c r="I65" s="841">
        <v>25001</v>
      </c>
      <c r="J65" s="841">
        <v>0</v>
      </c>
      <c r="K65" s="841">
        <v>0</v>
      </c>
      <c r="L65" s="841">
        <v>0</v>
      </c>
      <c r="M65" s="841">
        <v>0</v>
      </c>
      <c r="N65" s="841">
        <v>0</v>
      </c>
      <c r="O65" s="841">
        <v>0</v>
      </c>
    </row>
    <row r="66" spans="1:15" ht="15.75" hidden="1">
      <c r="A66" s="508" t="s">
        <v>9</v>
      </c>
      <c r="B66" s="394" t="s">
        <v>134</v>
      </c>
      <c r="C66" s="811">
        <f t="shared" si="21"/>
        <v>0</v>
      </c>
      <c r="D66" s="818"/>
      <c r="E66" s="816">
        <f t="shared" si="23"/>
        <v>0</v>
      </c>
      <c r="F66" s="818"/>
      <c r="G66" s="818"/>
      <c r="H66" s="818"/>
      <c r="I66" s="818"/>
      <c r="J66" s="818"/>
      <c r="K66" s="818"/>
      <c r="L66" s="818"/>
      <c r="M66" s="818"/>
      <c r="N66" s="818"/>
      <c r="O66" s="818"/>
    </row>
    <row r="67" spans="1:15" ht="15" hidden="1">
      <c r="A67" s="508" t="s">
        <v>135</v>
      </c>
      <c r="B67" s="394" t="s">
        <v>136</v>
      </c>
      <c r="C67" s="806">
        <f>SUM(C62-C65+C66)</f>
        <v>41352996</v>
      </c>
      <c r="D67" s="806">
        <f>SUM(D62-D65+D66)</f>
        <v>40402888</v>
      </c>
      <c r="E67" s="814">
        <f t="shared" si="23"/>
        <v>298305</v>
      </c>
      <c r="F67" s="807">
        <f aca="true" t="shared" si="24" ref="F67:O67">F62-SUM(F65,F66)</f>
        <v>0</v>
      </c>
      <c r="G67" s="807">
        <f t="shared" si="24"/>
        <v>298305</v>
      </c>
      <c r="H67" s="807">
        <f t="shared" si="24"/>
        <v>0</v>
      </c>
      <c r="I67" s="807">
        <f t="shared" si="24"/>
        <v>321778</v>
      </c>
      <c r="J67" s="807">
        <f t="shared" si="24"/>
        <v>201881</v>
      </c>
      <c r="K67" s="807">
        <f t="shared" si="24"/>
        <v>89644</v>
      </c>
      <c r="L67" s="807">
        <f t="shared" si="24"/>
        <v>0</v>
      </c>
      <c r="M67" s="807">
        <f t="shared" si="24"/>
        <v>0</v>
      </c>
      <c r="N67" s="807">
        <f t="shared" si="24"/>
        <v>0</v>
      </c>
      <c r="O67" s="807">
        <f t="shared" si="24"/>
        <v>38500</v>
      </c>
    </row>
    <row r="68" spans="1:15" ht="15" hidden="1">
      <c r="A68" s="508" t="s">
        <v>51</v>
      </c>
      <c r="B68" s="430" t="s">
        <v>137</v>
      </c>
      <c r="C68" s="806">
        <f>SUM(C69:C75)</f>
        <v>24405538</v>
      </c>
      <c r="D68" s="815">
        <f>SUM(D69:D75)</f>
        <v>23786651</v>
      </c>
      <c r="E68" s="814">
        <f t="shared" si="23"/>
        <v>40255</v>
      </c>
      <c r="F68" s="815">
        <f aca="true" t="shared" si="25" ref="F68:O68">SUM(F69:F75)</f>
        <v>0</v>
      </c>
      <c r="G68" s="815">
        <f t="shared" si="25"/>
        <v>40255</v>
      </c>
      <c r="H68" s="815">
        <f t="shared" si="25"/>
        <v>0</v>
      </c>
      <c r="I68" s="815">
        <f t="shared" si="25"/>
        <v>306078</v>
      </c>
      <c r="J68" s="815">
        <f t="shared" si="25"/>
        <v>201881</v>
      </c>
      <c r="K68" s="815">
        <f t="shared" si="25"/>
        <v>32173</v>
      </c>
      <c r="L68" s="815">
        <f t="shared" si="25"/>
        <v>0</v>
      </c>
      <c r="M68" s="815">
        <f t="shared" si="25"/>
        <v>0</v>
      </c>
      <c r="N68" s="815">
        <f t="shared" si="25"/>
        <v>0</v>
      </c>
      <c r="O68" s="815">
        <f t="shared" si="25"/>
        <v>38500</v>
      </c>
    </row>
    <row r="69" spans="1:15" ht="15" hidden="1">
      <c r="A69" s="507" t="s">
        <v>53</v>
      </c>
      <c r="B69" s="429" t="s">
        <v>138</v>
      </c>
      <c r="C69" s="811">
        <f t="shared" si="21"/>
        <v>1031967</v>
      </c>
      <c r="D69" s="841">
        <v>787517</v>
      </c>
      <c r="E69" s="816">
        <f t="shared" si="23"/>
        <v>40255</v>
      </c>
      <c r="F69" s="841">
        <v>0</v>
      </c>
      <c r="G69" s="841">
        <v>40255</v>
      </c>
      <c r="H69" s="841">
        <v>0</v>
      </c>
      <c r="I69" s="841">
        <v>164897</v>
      </c>
      <c r="J69" s="841">
        <v>39298</v>
      </c>
      <c r="K69" s="841">
        <v>0</v>
      </c>
      <c r="L69" s="841">
        <v>0</v>
      </c>
      <c r="M69" s="841">
        <v>0</v>
      </c>
      <c r="N69" s="841">
        <v>0</v>
      </c>
      <c r="O69" s="841">
        <v>0</v>
      </c>
    </row>
    <row r="70" spans="1:15" ht="15" hidden="1">
      <c r="A70" s="507" t="s">
        <v>54</v>
      </c>
      <c r="B70" s="429" t="s">
        <v>139</v>
      </c>
      <c r="C70" s="811">
        <f t="shared" si="21"/>
        <v>1860332</v>
      </c>
      <c r="D70" s="841">
        <v>1859988</v>
      </c>
      <c r="E70" s="816">
        <f t="shared" si="23"/>
        <v>0</v>
      </c>
      <c r="F70" s="841">
        <v>0</v>
      </c>
      <c r="G70" s="841">
        <v>0</v>
      </c>
      <c r="H70" s="841">
        <v>0</v>
      </c>
      <c r="I70" s="841">
        <v>0</v>
      </c>
      <c r="J70" s="841">
        <v>344</v>
      </c>
      <c r="K70" s="841">
        <v>0</v>
      </c>
      <c r="L70" s="841">
        <v>0</v>
      </c>
      <c r="M70" s="841">
        <v>0</v>
      </c>
      <c r="N70" s="841">
        <v>0</v>
      </c>
      <c r="O70" s="841">
        <v>0</v>
      </c>
    </row>
    <row r="71" spans="1:15" ht="15" hidden="1">
      <c r="A71" s="507" t="s">
        <v>140</v>
      </c>
      <c r="B71" s="429" t="s">
        <v>141</v>
      </c>
      <c r="C71" s="811">
        <f t="shared" si="21"/>
        <v>4653699</v>
      </c>
      <c r="D71" s="841">
        <v>4279606</v>
      </c>
      <c r="E71" s="816">
        <f t="shared" si="23"/>
        <v>0</v>
      </c>
      <c r="F71" s="841">
        <v>0</v>
      </c>
      <c r="G71" s="841">
        <v>0</v>
      </c>
      <c r="H71" s="841">
        <v>0</v>
      </c>
      <c r="I71" s="841">
        <v>141181</v>
      </c>
      <c r="J71" s="841">
        <v>162239</v>
      </c>
      <c r="K71" s="841">
        <v>32173</v>
      </c>
      <c r="L71" s="841">
        <v>0</v>
      </c>
      <c r="M71" s="841">
        <v>0</v>
      </c>
      <c r="N71" s="841">
        <v>0</v>
      </c>
      <c r="O71" s="841">
        <v>38500</v>
      </c>
    </row>
    <row r="72" spans="1:15" ht="15" hidden="1">
      <c r="A72" s="507" t="s">
        <v>142</v>
      </c>
      <c r="B72" s="429" t="s">
        <v>143</v>
      </c>
      <c r="C72" s="811">
        <f t="shared" si="21"/>
        <v>14979540</v>
      </c>
      <c r="D72" s="841">
        <v>14979540</v>
      </c>
      <c r="E72" s="816">
        <f t="shared" si="23"/>
        <v>0</v>
      </c>
      <c r="F72" s="841">
        <v>0</v>
      </c>
      <c r="G72" s="841">
        <v>0</v>
      </c>
      <c r="H72" s="841">
        <v>0</v>
      </c>
      <c r="I72" s="841">
        <v>0</v>
      </c>
      <c r="J72" s="841">
        <v>0</v>
      </c>
      <c r="K72" s="841">
        <v>0</v>
      </c>
      <c r="L72" s="841">
        <v>0</v>
      </c>
      <c r="M72" s="841">
        <v>0</v>
      </c>
      <c r="N72" s="841">
        <v>0</v>
      </c>
      <c r="O72" s="841">
        <v>0</v>
      </c>
    </row>
    <row r="73" spans="1:15" ht="15" hidden="1">
      <c r="A73" s="507" t="s">
        <v>144</v>
      </c>
      <c r="B73" s="429" t="s">
        <v>145</v>
      </c>
      <c r="C73" s="811">
        <f t="shared" si="21"/>
        <v>1880000</v>
      </c>
      <c r="D73" s="841">
        <v>1880000</v>
      </c>
      <c r="E73" s="816">
        <f t="shared" si="23"/>
        <v>0</v>
      </c>
      <c r="F73" s="841">
        <v>0</v>
      </c>
      <c r="G73" s="841">
        <v>0</v>
      </c>
      <c r="H73" s="841">
        <v>0</v>
      </c>
      <c r="I73" s="841">
        <v>0</v>
      </c>
      <c r="J73" s="841">
        <v>0</v>
      </c>
      <c r="K73" s="841">
        <v>0</v>
      </c>
      <c r="L73" s="841">
        <v>0</v>
      </c>
      <c r="M73" s="841">
        <v>0</v>
      </c>
      <c r="N73" s="841">
        <v>0</v>
      </c>
      <c r="O73" s="841">
        <v>0</v>
      </c>
    </row>
    <row r="74" spans="1:15" ht="25.5" hidden="1">
      <c r="A74" s="507" t="s">
        <v>146</v>
      </c>
      <c r="B74" s="431" t="s">
        <v>147</v>
      </c>
      <c r="C74" s="811">
        <f t="shared" si="21"/>
        <v>0</v>
      </c>
      <c r="D74" s="841">
        <v>0</v>
      </c>
      <c r="E74" s="816">
        <f>SUM(F74:G74)</f>
        <v>0</v>
      </c>
      <c r="F74" s="841">
        <v>0</v>
      </c>
      <c r="G74" s="841">
        <v>0</v>
      </c>
      <c r="H74" s="841">
        <v>0</v>
      </c>
      <c r="I74" s="841">
        <v>0</v>
      </c>
      <c r="J74" s="841">
        <v>0</v>
      </c>
      <c r="K74" s="841">
        <v>0</v>
      </c>
      <c r="L74" s="841">
        <v>0</v>
      </c>
      <c r="M74" s="841">
        <v>0</v>
      </c>
      <c r="N74" s="841">
        <v>0</v>
      </c>
      <c r="O74" s="841">
        <v>0</v>
      </c>
    </row>
    <row r="75" spans="1:15" ht="15" hidden="1">
      <c r="A75" s="507" t="s">
        <v>148</v>
      </c>
      <c r="B75" s="429" t="s">
        <v>149</v>
      </c>
      <c r="C75" s="811">
        <f t="shared" si="21"/>
        <v>0</v>
      </c>
      <c r="D75" s="841">
        <v>0</v>
      </c>
      <c r="E75" s="816">
        <f>SUM(F75:G75)</f>
        <v>0</v>
      </c>
      <c r="F75" s="841">
        <v>0</v>
      </c>
      <c r="G75" s="841">
        <v>0</v>
      </c>
      <c r="H75" s="841">
        <v>0</v>
      </c>
      <c r="I75" s="841">
        <v>0</v>
      </c>
      <c r="J75" s="841">
        <v>0</v>
      </c>
      <c r="K75" s="841">
        <v>0</v>
      </c>
      <c r="L75" s="841">
        <v>0</v>
      </c>
      <c r="M75" s="841">
        <v>0</v>
      </c>
      <c r="N75" s="841">
        <v>0</v>
      </c>
      <c r="O75" s="841">
        <v>0</v>
      </c>
    </row>
    <row r="76" spans="1:15" ht="15" hidden="1">
      <c r="A76" s="508" t="s">
        <v>52</v>
      </c>
      <c r="B76" s="394" t="s">
        <v>150</v>
      </c>
      <c r="C76" s="823">
        <f>C62-C65-C66-C68</f>
        <v>16947458</v>
      </c>
      <c r="D76" s="823">
        <f>D67-D68</f>
        <v>16616237</v>
      </c>
      <c r="E76" s="823">
        <f aca="true" t="shared" si="26" ref="E76:O76">E67-E68</f>
        <v>258050</v>
      </c>
      <c r="F76" s="823">
        <f t="shared" si="26"/>
        <v>0</v>
      </c>
      <c r="G76" s="823">
        <f t="shared" si="26"/>
        <v>258050</v>
      </c>
      <c r="H76" s="823">
        <f t="shared" si="26"/>
        <v>0</v>
      </c>
      <c r="I76" s="823">
        <f t="shared" si="26"/>
        <v>15700</v>
      </c>
      <c r="J76" s="823">
        <f t="shared" si="26"/>
        <v>0</v>
      </c>
      <c r="K76" s="823">
        <f t="shared" si="26"/>
        <v>57471</v>
      </c>
      <c r="L76" s="823">
        <f t="shared" si="26"/>
        <v>0</v>
      </c>
      <c r="M76" s="823">
        <f t="shared" si="26"/>
        <v>0</v>
      </c>
      <c r="N76" s="823">
        <f t="shared" si="26"/>
        <v>0</v>
      </c>
      <c r="O76" s="823">
        <f t="shared" si="26"/>
        <v>0</v>
      </c>
    </row>
    <row r="77" spans="1:15" ht="25.5" hidden="1">
      <c r="A77" s="534" t="s">
        <v>540</v>
      </c>
      <c r="B77" s="470" t="s">
        <v>151</v>
      </c>
      <c r="C77" s="532">
        <f>(C69+C70)/C68</f>
        <v>0.11850994639003655</v>
      </c>
      <c r="D77" s="533">
        <f aca="true" t="shared" si="27" ref="D77:O77">(D69+D70)/D68</f>
        <v>0.11130213328475706</v>
      </c>
      <c r="E77" s="532">
        <f t="shared" si="27"/>
        <v>1</v>
      </c>
      <c r="F77" s="533" t="e">
        <f t="shared" si="27"/>
        <v>#DIV/0!</v>
      </c>
      <c r="G77" s="533">
        <f t="shared" si="27"/>
        <v>1</v>
      </c>
      <c r="H77" s="533" t="e">
        <f t="shared" si="27"/>
        <v>#DIV/0!</v>
      </c>
      <c r="I77" s="533">
        <f t="shared" si="27"/>
        <v>0.5387417586366874</v>
      </c>
      <c r="J77" s="533">
        <f t="shared" si="27"/>
        <v>0.19636320406576152</v>
      </c>
      <c r="K77" s="533">
        <f t="shared" si="27"/>
        <v>0</v>
      </c>
      <c r="L77" s="533" t="e">
        <f t="shared" si="27"/>
        <v>#DIV/0!</v>
      </c>
      <c r="M77" s="533" t="e">
        <f t="shared" si="27"/>
        <v>#DIV/0!</v>
      </c>
      <c r="N77" s="533" t="e">
        <f t="shared" si="27"/>
        <v>#DIV/0!</v>
      </c>
      <c r="O77" s="533">
        <f t="shared" si="27"/>
        <v>0</v>
      </c>
    </row>
    <row r="78" ht="0.75" customHeight="1" hidden="1"/>
    <row r="79" ht="15" hidden="1">
      <c r="B79" s="904" t="s">
        <v>755</v>
      </c>
    </row>
    <row r="80" spans="1:15" ht="15" hidden="1">
      <c r="A80" s="1478" t="s">
        <v>68</v>
      </c>
      <c r="B80" s="1479"/>
      <c r="C80" s="1487" t="s">
        <v>37</v>
      </c>
      <c r="D80" s="1487" t="s">
        <v>335</v>
      </c>
      <c r="E80" s="1488"/>
      <c r="F80" s="1488"/>
      <c r="G80" s="1488"/>
      <c r="H80" s="1488"/>
      <c r="I80" s="1488"/>
      <c r="J80" s="1488"/>
      <c r="K80" s="1488"/>
      <c r="L80" s="1488"/>
      <c r="M80" s="1488"/>
      <c r="N80" s="1488"/>
      <c r="O80" s="1489"/>
    </row>
    <row r="81" spans="1:15" ht="15" hidden="1">
      <c r="A81" s="1480"/>
      <c r="B81" s="1481"/>
      <c r="C81" s="1501"/>
      <c r="D81" s="1491" t="s">
        <v>119</v>
      </c>
      <c r="E81" s="1498" t="s">
        <v>120</v>
      </c>
      <c r="F81" s="1499"/>
      <c r="G81" s="1500"/>
      <c r="H81" s="1474" t="s">
        <v>121</v>
      </c>
      <c r="I81" s="1474" t="s">
        <v>122</v>
      </c>
      <c r="J81" s="1474" t="s">
        <v>198</v>
      </c>
      <c r="K81" s="1474" t="s">
        <v>124</v>
      </c>
      <c r="L81" s="1474" t="s">
        <v>125</v>
      </c>
      <c r="M81" s="1474" t="s">
        <v>126</v>
      </c>
      <c r="N81" s="1474" t="s">
        <v>183</v>
      </c>
      <c r="O81" s="1474" t="s">
        <v>127</v>
      </c>
    </row>
    <row r="82" spans="1:15" ht="15" hidden="1">
      <c r="A82" s="1480"/>
      <c r="B82" s="1481"/>
      <c r="C82" s="1501"/>
      <c r="D82" s="1491"/>
      <c r="E82" s="1473" t="s">
        <v>36</v>
      </c>
      <c r="F82" s="1476" t="s">
        <v>7</v>
      </c>
      <c r="G82" s="1477"/>
      <c r="H82" s="1474"/>
      <c r="I82" s="1474"/>
      <c r="J82" s="1474"/>
      <c r="K82" s="1474"/>
      <c r="L82" s="1474"/>
      <c r="M82" s="1474"/>
      <c r="N82" s="1474"/>
      <c r="O82" s="1474"/>
    </row>
    <row r="83" spans="1:15" ht="15" hidden="1">
      <c r="A83" s="1482"/>
      <c r="B83" s="1483"/>
      <c r="C83" s="1501"/>
      <c r="D83" s="1492"/>
      <c r="E83" s="1475"/>
      <c r="F83" s="559" t="s">
        <v>199</v>
      </c>
      <c r="G83" s="560" t="s">
        <v>200</v>
      </c>
      <c r="H83" s="1475"/>
      <c r="I83" s="1475"/>
      <c r="J83" s="1475"/>
      <c r="K83" s="1475"/>
      <c r="L83" s="1475"/>
      <c r="M83" s="1475"/>
      <c r="N83" s="1475"/>
      <c r="O83" s="1475"/>
    </row>
    <row r="84" spans="1:15" ht="15" hidden="1">
      <c r="A84" s="1471" t="s">
        <v>39</v>
      </c>
      <c r="B84" s="1472"/>
      <c r="C84" s="505">
        <v>1</v>
      </c>
      <c r="D84" s="505">
        <v>2</v>
      </c>
      <c r="E84" s="505">
        <v>3</v>
      </c>
      <c r="F84" s="505">
        <v>4</v>
      </c>
      <c r="G84" s="505">
        <v>5</v>
      </c>
      <c r="H84" s="505">
        <v>6</v>
      </c>
      <c r="I84" s="505">
        <v>7</v>
      </c>
      <c r="J84" s="505">
        <v>8</v>
      </c>
      <c r="K84" s="505">
        <v>9</v>
      </c>
      <c r="L84" s="505">
        <v>10</v>
      </c>
      <c r="M84" s="505">
        <v>11</v>
      </c>
      <c r="N84" s="505">
        <v>12</v>
      </c>
      <c r="O84" s="505">
        <v>13</v>
      </c>
    </row>
    <row r="85" spans="1:15" ht="15" hidden="1">
      <c r="A85" s="506" t="s">
        <v>0</v>
      </c>
      <c r="B85" s="427" t="s">
        <v>130</v>
      </c>
      <c r="C85" s="806">
        <f aca="true" t="shared" si="28" ref="C85:C98">SUM(D85,E85,H85:O85)</f>
        <v>6983812</v>
      </c>
      <c r="D85" s="814">
        <f>SUM(D86:D87)</f>
        <v>6746211</v>
      </c>
      <c r="E85" s="814">
        <f aca="true" t="shared" si="29" ref="E85:J85">SUM(E86:E87)</f>
        <v>89253</v>
      </c>
      <c r="F85" s="814">
        <f t="shared" si="29"/>
        <v>0</v>
      </c>
      <c r="G85" s="814">
        <f t="shared" si="29"/>
        <v>89253</v>
      </c>
      <c r="H85" s="814">
        <f t="shared" si="29"/>
        <v>0</v>
      </c>
      <c r="I85" s="814">
        <f t="shared" si="29"/>
        <v>148348</v>
      </c>
      <c r="J85" s="814">
        <f t="shared" si="29"/>
        <v>0</v>
      </c>
      <c r="K85" s="814">
        <f>SUM(K86:K87)</f>
        <v>0</v>
      </c>
      <c r="L85" s="814">
        <f>SUM(L86:L87)</f>
        <v>0</v>
      </c>
      <c r="M85" s="814">
        <f>SUM(M86:M87)</f>
        <v>0</v>
      </c>
      <c r="N85" s="814">
        <f>SUM(N86:N87)</f>
        <v>0</v>
      </c>
      <c r="O85" s="814">
        <f>SUM(O86:O87)</f>
        <v>0</v>
      </c>
    </row>
    <row r="86" spans="1:15" ht="15.75" hidden="1">
      <c r="A86" s="507">
        <v>1</v>
      </c>
      <c r="B86" s="429" t="s">
        <v>131</v>
      </c>
      <c r="C86" s="811">
        <f t="shared" si="28"/>
        <v>4949416</v>
      </c>
      <c r="D86" s="941">
        <v>4825508</v>
      </c>
      <c r="E86" s="816">
        <f aca="true" t="shared" si="30" ref="E86:E96">SUM(F86:G86)</f>
        <v>58110</v>
      </c>
      <c r="F86" s="941">
        <v>0</v>
      </c>
      <c r="G86" s="941">
        <v>58110</v>
      </c>
      <c r="H86" s="941">
        <v>0</v>
      </c>
      <c r="I86" s="941">
        <v>65798</v>
      </c>
      <c r="J86" s="941">
        <v>0</v>
      </c>
      <c r="K86" s="941">
        <v>0</v>
      </c>
      <c r="L86" s="941">
        <v>0</v>
      </c>
      <c r="M86" s="941">
        <v>0</v>
      </c>
      <c r="N86" s="941">
        <v>0</v>
      </c>
      <c r="O86" s="941">
        <v>0</v>
      </c>
    </row>
    <row r="87" spans="1:15" ht="15.75" hidden="1">
      <c r="A87" s="507">
        <v>2</v>
      </c>
      <c r="B87" s="429" t="s">
        <v>132</v>
      </c>
      <c r="C87" s="811">
        <f t="shared" si="28"/>
        <v>2034396</v>
      </c>
      <c r="D87" s="941">
        <v>1920703</v>
      </c>
      <c r="E87" s="816">
        <f t="shared" si="30"/>
        <v>31143</v>
      </c>
      <c r="F87" s="941">
        <v>0</v>
      </c>
      <c r="G87" s="941">
        <v>31143</v>
      </c>
      <c r="H87" s="941">
        <v>0</v>
      </c>
      <c r="I87" s="941">
        <v>82550</v>
      </c>
      <c r="J87" s="941">
        <v>0</v>
      </c>
      <c r="K87" s="941">
        <v>0</v>
      </c>
      <c r="L87" s="941">
        <v>0</v>
      </c>
      <c r="M87" s="941">
        <v>0</v>
      </c>
      <c r="N87" s="941">
        <v>0</v>
      </c>
      <c r="O87" s="941">
        <v>0</v>
      </c>
    </row>
    <row r="88" spans="1:15" ht="15.75" hidden="1">
      <c r="A88" s="508" t="s">
        <v>1</v>
      </c>
      <c r="B88" s="394" t="s">
        <v>133</v>
      </c>
      <c r="C88" s="811">
        <f t="shared" si="28"/>
        <v>153600</v>
      </c>
      <c r="D88" s="941">
        <v>153600</v>
      </c>
      <c r="E88" s="816">
        <f t="shared" si="30"/>
        <v>0</v>
      </c>
      <c r="F88" s="941">
        <v>0</v>
      </c>
      <c r="G88" s="941">
        <v>0</v>
      </c>
      <c r="H88" s="941">
        <v>0</v>
      </c>
      <c r="I88" s="941">
        <v>0</v>
      </c>
      <c r="J88" s="941">
        <v>0</v>
      </c>
      <c r="K88" s="941">
        <v>0</v>
      </c>
      <c r="L88" s="941">
        <v>0</v>
      </c>
      <c r="M88" s="941">
        <v>0</v>
      </c>
      <c r="N88" s="941">
        <v>0</v>
      </c>
      <c r="O88" s="941">
        <v>0</v>
      </c>
    </row>
    <row r="89" spans="1:15" ht="15.75" hidden="1">
      <c r="A89" s="508" t="s">
        <v>9</v>
      </c>
      <c r="B89" s="394" t="s">
        <v>134</v>
      </c>
      <c r="C89" s="811">
        <f t="shared" si="28"/>
        <v>0</v>
      </c>
      <c r="D89" s="941">
        <v>0</v>
      </c>
      <c r="E89" s="816">
        <f t="shared" si="30"/>
        <v>0</v>
      </c>
      <c r="F89" s="941">
        <v>0</v>
      </c>
      <c r="G89" s="941">
        <v>0</v>
      </c>
      <c r="H89" s="941">
        <v>0</v>
      </c>
      <c r="I89" s="941">
        <v>0</v>
      </c>
      <c r="J89" s="941">
        <v>0</v>
      </c>
      <c r="K89" s="941">
        <v>0</v>
      </c>
      <c r="L89" s="941">
        <v>0</v>
      </c>
      <c r="M89" s="941">
        <v>0</v>
      </c>
      <c r="N89" s="941">
        <v>0</v>
      </c>
      <c r="O89" s="941">
        <v>0</v>
      </c>
    </row>
    <row r="90" spans="1:15" ht="15" hidden="1">
      <c r="A90" s="508" t="s">
        <v>135</v>
      </c>
      <c r="B90" s="394" t="s">
        <v>136</v>
      </c>
      <c r="C90" s="806">
        <f t="shared" si="28"/>
        <v>6830212</v>
      </c>
      <c r="D90" s="807">
        <f>D85-SUM(D88,D89)</f>
        <v>6592611</v>
      </c>
      <c r="E90" s="814">
        <f t="shared" si="30"/>
        <v>89253</v>
      </c>
      <c r="F90" s="807">
        <f aca="true" t="shared" si="31" ref="F90:O90">F85-SUM(F88,F89)</f>
        <v>0</v>
      </c>
      <c r="G90" s="807">
        <f t="shared" si="31"/>
        <v>89253</v>
      </c>
      <c r="H90" s="807">
        <f t="shared" si="31"/>
        <v>0</v>
      </c>
      <c r="I90" s="807">
        <f t="shared" si="31"/>
        <v>148348</v>
      </c>
      <c r="J90" s="807">
        <f t="shared" si="31"/>
        <v>0</v>
      </c>
      <c r="K90" s="807">
        <f t="shared" si="31"/>
        <v>0</v>
      </c>
      <c r="L90" s="807">
        <f t="shared" si="31"/>
        <v>0</v>
      </c>
      <c r="M90" s="807">
        <f t="shared" si="31"/>
        <v>0</v>
      </c>
      <c r="N90" s="807">
        <f t="shared" si="31"/>
        <v>0</v>
      </c>
      <c r="O90" s="807">
        <f t="shared" si="31"/>
        <v>0</v>
      </c>
    </row>
    <row r="91" spans="1:15" ht="15" hidden="1">
      <c r="A91" s="508" t="s">
        <v>51</v>
      </c>
      <c r="B91" s="430" t="s">
        <v>137</v>
      </c>
      <c r="C91" s="806">
        <f t="shared" si="28"/>
        <v>4935171</v>
      </c>
      <c r="D91" s="815">
        <f>SUM(D92:D98)</f>
        <v>4816882</v>
      </c>
      <c r="E91" s="814">
        <f t="shared" si="30"/>
        <v>22778</v>
      </c>
      <c r="F91" s="815">
        <f aca="true" t="shared" si="32" ref="F91:O91">SUM(F92:F98)</f>
        <v>0</v>
      </c>
      <c r="G91" s="815">
        <f t="shared" si="32"/>
        <v>22778</v>
      </c>
      <c r="H91" s="815">
        <f t="shared" si="32"/>
        <v>0</v>
      </c>
      <c r="I91" s="815">
        <f t="shared" si="32"/>
        <v>95511</v>
      </c>
      <c r="J91" s="815">
        <f t="shared" si="32"/>
        <v>0</v>
      </c>
      <c r="K91" s="815">
        <f t="shared" si="32"/>
        <v>0</v>
      </c>
      <c r="L91" s="815">
        <f t="shared" si="32"/>
        <v>0</v>
      </c>
      <c r="M91" s="815">
        <f t="shared" si="32"/>
        <v>0</v>
      </c>
      <c r="N91" s="815">
        <f t="shared" si="32"/>
        <v>0</v>
      </c>
      <c r="O91" s="815">
        <f t="shared" si="32"/>
        <v>0</v>
      </c>
    </row>
    <row r="92" spans="1:15" ht="15.75" hidden="1">
      <c r="A92" s="507" t="s">
        <v>53</v>
      </c>
      <c r="B92" s="429" t="s">
        <v>138</v>
      </c>
      <c r="C92" s="811">
        <f t="shared" si="28"/>
        <v>863001</v>
      </c>
      <c r="D92" s="941">
        <v>815751</v>
      </c>
      <c r="E92" s="816">
        <f t="shared" si="30"/>
        <v>0</v>
      </c>
      <c r="F92" s="941">
        <v>0</v>
      </c>
      <c r="G92" s="941">
        <v>0</v>
      </c>
      <c r="H92" s="941">
        <v>0</v>
      </c>
      <c r="I92" s="941">
        <v>47250</v>
      </c>
      <c r="J92" s="941">
        <v>0</v>
      </c>
      <c r="K92" s="941">
        <v>0</v>
      </c>
      <c r="L92" s="941">
        <v>0</v>
      </c>
      <c r="M92" s="941">
        <v>0</v>
      </c>
      <c r="N92" s="941">
        <v>0</v>
      </c>
      <c r="O92" s="941">
        <v>0</v>
      </c>
    </row>
    <row r="93" spans="1:15" ht="15.75" hidden="1">
      <c r="A93" s="507" t="s">
        <v>54</v>
      </c>
      <c r="B93" s="429" t="s">
        <v>139</v>
      </c>
      <c r="C93" s="811">
        <f t="shared" si="28"/>
        <v>170385</v>
      </c>
      <c r="D93" s="941">
        <v>170385</v>
      </c>
      <c r="E93" s="816">
        <f t="shared" si="30"/>
        <v>0</v>
      </c>
      <c r="F93" s="941">
        <v>0</v>
      </c>
      <c r="G93" s="941">
        <v>0</v>
      </c>
      <c r="H93" s="941">
        <v>0</v>
      </c>
      <c r="I93" s="941">
        <v>0</v>
      </c>
      <c r="J93" s="941">
        <v>0</v>
      </c>
      <c r="K93" s="941">
        <v>0</v>
      </c>
      <c r="L93" s="941">
        <v>0</v>
      </c>
      <c r="M93" s="941">
        <v>0</v>
      </c>
      <c r="N93" s="941">
        <v>0</v>
      </c>
      <c r="O93" s="941">
        <v>0</v>
      </c>
    </row>
    <row r="94" spans="1:15" ht="15.75" hidden="1">
      <c r="A94" s="507" t="s">
        <v>140</v>
      </c>
      <c r="B94" s="429" t="s">
        <v>141</v>
      </c>
      <c r="C94" s="811">
        <f t="shared" si="28"/>
        <v>2856785</v>
      </c>
      <c r="D94" s="941">
        <v>2785746</v>
      </c>
      <c r="E94" s="816">
        <f t="shared" si="30"/>
        <v>22778</v>
      </c>
      <c r="F94" s="941">
        <v>0</v>
      </c>
      <c r="G94" s="941">
        <v>22778</v>
      </c>
      <c r="H94" s="941">
        <v>0</v>
      </c>
      <c r="I94" s="941">
        <v>48261</v>
      </c>
      <c r="J94" s="941">
        <v>0</v>
      </c>
      <c r="K94" s="941">
        <v>0</v>
      </c>
      <c r="L94" s="941">
        <v>0</v>
      </c>
      <c r="M94" s="941">
        <v>0</v>
      </c>
      <c r="N94" s="941">
        <v>0</v>
      </c>
      <c r="O94" s="941">
        <v>0</v>
      </c>
    </row>
    <row r="95" spans="1:15" ht="15.75" hidden="1">
      <c r="A95" s="507" t="s">
        <v>142</v>
      </c>
      <c r="B95" s="429" t="s">
        <v>143</v>
      </c>
      <c r="C95" s="811">
        <f t="shared" si="28"/>
        <v>925000</v>
      </c>
      <c r="D95" s="941">
        <v>925000</v>
      </c>
      <c r="E95" s="816">
        <f t="shared" si="30"/>
        <v>0</v>
      </c>
      <c r="F95" s="941">
        <v>0</v>
      </c>
      <c r="G95" s="941">
        <v>0</v>
      </c>
      <c r="H95" s="941">
        <v>0</v>
      </c>
      <c r="I95" s="941">
        <v>0</v>
      </c>
      <c r="J95" s="941">
        <v>0</v>
      </c>
      <c r="K95" s="941">
        <v>0</v>
      </c>
      <c r="L95" s="941">
        <v>0</v>
      </c>
      <c r="M95" s="941">
        <v>0</v>
      </c>
      <c r="N95" s="941">
        <v>0</v>
      </c>
      <c r="O95" s="941">
        <v>0</v>
      </c>
    </row>
    <row r="96" spans="1:15" ht="15.75" hidden="1">
      <c r="A96" s="507" t="s">
        <v>144</v>
      </c>
      <c r="B96" s="429" t="s">
        <v>145</v>
      </c>
      <c r="C96" s="811">
        <f t="shared" si="28"/>
        <v>0</v>
      </c>
      <c r="D96" s="941">
        <v>0</v>
      </c>
      <c r="E96" s="816">
        <f t="shared" si="30"/>
        <v>0</v>
      </c>
      <c r="F96" s="941">
        <v>0</v>
      </c>
      <c r="G96" s="941">
        <v>0</v>
      </c>
      <c r="H96" s="941">
        <v>0</v>
      </c>
      <c r="I96" s="941">
        <v>0</v>
      </c>
      <c r="J96" s="941">
        <v>0</v>
      </c>
      <c r="K96" s="941">
        <v>0</v>
      </c>
      <c r="L96" s="941">
        <v>0</v>
      </c>
      <c r="M96" s="941">
        <v>0</v>
      </c>
      <c r="N96" s="941">
        <v>0</v>
      </c>
      <c r="O96" s="941">
        <v>0</v>
      </c>
    </row>
    <row r="97" spans="1:15" ht="25.5" hidden="1">
      <c r="A97" s="507" t="s">
        <v>146</v>
      </c>
      <c r="B97" s="431" t="s">
        <v>147</v>
      </c>
      <c r="C97" s="811">
        <f t="shared" si="28"/>
        <v>0</v>
      </c>
      <c r="D97" s="941">
        <v>0</v>
      </c>
      <c r="E97" s="816">
        <f>SUM(F97:G97)</f>
        <v>0</v>
      </c>
      <c r="F97" s="941">
        <v>0</v>
      </c>
      <c r="G97" s="941">
        <v>0</v>
      </c>
      <c r="H97" s="941">
        <v>0</v>
      </c>
      <c r="I97" s="941">
        <v>0</v>
      </c>
      <c r="J97" s="941">
        <v>0</v>
      </c>
      <c r="K97" s="941">
        <v>0</v>
      </c>
      <c r="L97" s="941">
        <v>0</v>
      </c>
      <c r="M97" s="941">
        <v>0</v>
      </c>
      <c r="N97" s="941">
        <v>0</v>
      </c>
      <c r="O97" s="941">
        <v>0</v>
      </c>
    </row>
    <row r="98" spans="1:15" ht="15.75" hidden="1">
      <c r="A98" s="507" t="s">
        <v>148</v>
      </c>
      <c r="B98" s="429" t="s">
        <v>149</v>
      </c>
      <c r="C98" s="811">
        <f t="shared" si="28"/>
        <v>120000</v>
      </c>
      <c r="D98" s="941">
        <v>120000</v>
      </c>
      <c r="E98" s="816">
        <f>SUM(F98:G98)</f>
        <v>0</v>
      </c>
      <c r="F98" s="941">
        <v>0</v>
      </c>
      <c r="G98" s="941">
        <v>0</v>
      </c>
      <c r="H98" s="941">
        <v>0</v>
      </c>
      <c r="I98" s="941">
        <v>0</v>
      </c>
      <c r="J98" s="941">
        <v>0</v>
      </c>
      <c r="K98" s="941">
        <v>0</v>
      </c>
      <c r="L98" s="941">
        <v>0</v>
      </c>
      <c r="M98" s="941">
        <v>0</v>
      </c>
      <c r="N98" s="941">
        <v>0</v>
      </c>
      <c r="O98" s="941">
        <v>0</v>
      </c>
    </row>
    <row r="99" spans="1:15" ht="15" hidden="1">
      <c r="A99" s="508" t="s">
        <v>52</v>
      </c>
      <c r="B99" s="394" t="s">
        <v>150</v>
      </c>
      <c r="C99" s="823">
        <f>C85-C88-C89-C91</f>
        <v>1895041</v>
      </c>
      <c r="D99" s="823">
        <f>D90-D91</f>
        <v>1775729</v>
      </c>
      <c r="E99" s="823">
        <f aca="true" t="shared" si="33" ref="E99:O99">E90-E91</f>
        <v>66475</v>
      </c>
      <c r="F99" s="823">
        <f t="shared" si="33"/>
        <v>0</v>
      </c>
      <c r="G99" s="823">
        <f t="shared" si="33"/>
        <v>66475</v>
      </c>
      <c r="H99" s="823">
        <f t="shared" si="33"/>
        <v>0</v>
      </c>
      <c r="I99" s="823">
        <f t="shared" si="33"/>
        <v>52837</v>
      </c>
      <c r="J99" s="823">
        <f t="shared" si="33"/>
        <v>0</v>
      </c>
      <c r="K99" s="823">
        <f t="shared" si="33"/>
        <v>0</v>
      </c>
      <c r="L99" s="823">
        <f t="shared" si="33"/>
        <v>0</v>
      </c>
      <c r="M99" s="823">
        <f t="shared" si="33"/>
        <v>0</v>
      </c>
      <c r="N99" s="823">
        <f t="shared" si="33"/>
        <v>0</v>
      </c>
      <c r="O99" s="823">
        <f t="shared" si="33"/>
        <v>0</v>
      </c>
    </row>
    <row r="100" spans="1:15" ht="25.5" hidden="1">
      <c r="A100" s="534" t="s">
        <v>540</v>
      </c>
      <c r="B100" s="470" t="s">
        <v>151</v>
      </c>
      <c r="C100" s="532">
        <f>(C92+C93)/C91</f>
        <v>0.20939213656426495</v>
      </c>
      <c r="D100" s="533">
        <f aca="true" t="shared" si="34" ref="D100:O100">(D92+D93)/D91</f>
        <v>0.20472496523684824</v>
      </c>
      <c r="E100" s="532">
        <f t="shared" si="34"/>
        <v>0</v>
      </c>
      <c r="F100" s="533" t="e">
        <f t="shared" si="34"/>
        <v>#DIV/0!</v>
      </c>
      <c r="G100" s="533">
        <f t="shared" si="34"/>
        <v>0</v>
      </c>
      <c r="H100" s="533" t="e">
        <f t="shared" si="34"/>
        <v>#DIV/0!</v>
      </c>
      <c r="I100" s="533">
        <f t="shared" si="34"/>
        <v>0.4947074158997393</v>
      </c>
      <c r="J100" s="533" t="e">
        <f t="shared" si="34"/>
        <v>#DIV/0!</v>
      </c>
      <c r="K100" s="533" t="e">
        <f t="shared" si="34"/>
        <v>#DIV/0!</v>
      </c>
      <c r="L100" s="533" t="e">
        <f t="shared" si="34"/>
        <v>#DIV/0!</v>
      </c>
      <c r="M100" s="533" t="e">
        <f t="shared" si="34"/>
        <v>#DIV/0!</v>
      </c>
      <c r="N100" s="533" t="e">
        <f t="shared" si="34"/>
        <v>#DIV/0!</v>
      </c>
      <c r="O100" s="533" t="e">
        <f t="shared" si="34"/>
        <v>#DIV/0!</v>
      </c>
    </row>
    <row r="101" ht="15" hidden="1"/>
    <row r="102" ht="15" hidden="1">
      <c r="B102" s="904" t="s">
        <v>752</v>
      </c>
    </row>
    <row r="103" ht="15" hidden="1"/>
    <row r="104" spans="1:15" ht="15" hidden="1">
      <c r="A104" s="1478" t="s">
        <v>68</v>
      </c>
      <c r="B104" s="1479"/>
      <c r="C104" s="1487" t="s">
        <v>37</v>
      </c>
      <c r="D104" s="1487" t="s">
        <v>335</v>
      </c>
      <c r="E104" s="1488"/>
      <c r="F104" s="1488"/>
      <c r="G104" s="1488"/>
      <c r="H104" s="1488"/>
      <c r="I104" s="1488"/>
      <c r="J104" s="1488"/>
      <c r="K104" s="1488"/>
      <c r="L104" s="1488"/>
      <c r="M104" s="1488"/>
      <c r="N104" s="1488"/>
      <c r="O104" s="1489"/>
    </row>
    <row r="105" spans="1:15" ht="15" hidden="1">
      <c r="A105" s="1480"/>
      <c r="B105" s="1481"/>
      <c r="C105" s="1501"/>
      <c r="D105" s="1491" t="s">
        <v>119</v>
      </c>
      <c r="E105" s="1498" t="s">
        <v>120</v>
      </c>
      <c r="F105" s="1499"/>
      <c r="G105" s="1500"/>
      <c r="H105" s="1474" t="s">
        <v>121</v>
      </c>
      <c r="I105" s="1474" t="s">
        <v>122</v>
      </c>
      <c r="J105" s="1474" t="s">
        <v>198</v>
      </c>
      <c r="K105" s="1474" t="s">
        <v>124</v>
      </c>
      <c r="L105" s="1474" t="s">
        <v>125</v>
      </c>
      <c r="M105" s="1474" t="s">
        <v>126</v>
      </c>
      <c r="N105" s="1474" t="s">
        <v>183</v>
      </c>
      <c r="O105" s="1474" t="s">
        <v>127</v>
      </c>
    </row>
    <row r="106" spans="1:15" ht="15" hidden="1">
      <c r="A106" s="1480"/>
      <c r="B106" s="1481"/>
      <c r="C106" s="1501"/>
      <c r="D106" s="1491"/>
      <c r="E106" s="1473" t="s">
        <v>36</v>
      </c>
      <c r="F106" s="1476" t="s">
        <v>7</v>
      </c>
      <c r="G106" s="1477"/>
      <c r="H106" s="1474"/>
      <c r="I106" s="1474"/>
      <c r="J106" s="1474"/>
      <c r="K106" s="1474"/>
      <c r="L106" s="1474"/>
      <c r="M106" s="1474"/>
      <c r="N106" s="1474"/>
      <c r="O106" s="1474"/>
    </row>
    <row r="107" spans="1:15" ht="15" hidden="1">
      <c r="A107" s="1482"/>
      <c r="B107" s="1483"/>
      <c r="C107" s="1501"/>
      <c r="D107" s="1492"/>
      <c r="E107" s="1475"/>
      <c r="F107" s="559" t="s">
        <v>199</v>
      </c>
      <c r="G107" s="560" t="s">
        <v>200</v>
      </c>
      <c r="H107" s="1475"/>
      <c r="I107" s="1475"/>
      <c r="J107" s="1475"/>
      <c r="K107" s="1475"/>
      <c r="L107" s="1475"/>
      <c r="M107" s="1475"/>
      <c r="N107" s="1475"/>
      <c r="O107" s="1475"/>
    </row>
    <row r="108" spans="1:15" ht="15" hidden="1">
      <c r="A108" s="1471" t="s">
        <v>39</v>
      </c>
      <c r="B108" s="1472"/>
      <c r="C108" s="505">
        <v>1</v>
      </c>
      <c r="D108" s="505">
        <v>2</v>
      </c>
      <c r="E108" s="505">
        <v>3</v>
      </c>
      <c r="F108" s="505">
        <v>4</v>
      </c>
      <c r="G108" s="505">
        <v>5</v>
      </c>
      <c r="H108" s="505">
        <v>6</v>
      </c>
      <c r="I108" s="505">
        <v>7</v>
      </c>
      <c r="J108" s="505">
        <v>8</v>
      </c>
      <c r="K108" s="505">
        <v>9</v>
      </c>
      <c r="L108" s="505">
        <v>10</v>
      </c>
      <c r="M108" s="505">
        <v>11</v>
      </c>
      <c r="N108" s="505">
        <v>12</v>
      </c>
      <c r="O108" s="505">
        <v>13</v>
      </c>
    </row>
    <row r="109" spans="1:15" ht="15" hidden="1">
      <c r="A109" s="506" t="s">
        <v>0</v>
      </c>
      <c r="B109" s="427" t="s">
        <v>130</v>
      </c>
      <c r="C109" s="806">
        <f aca="true" t="shared" si="35" ref="C109:C122">SUM(D109,E109,H109:O109)</f>
        <v>16530323</v>
      </c>
      <c r="D109" s="814">
        <f>SUM(D110:D111)</f>
        <v>16078299</v>
      </c>
      <c r="E109" s="814">
        <f aca="true" t="shared" si="36" ref="E109:J109">SUM(E110:E111)</f>
        <v>246827</v>
      </c>
      <c r="F109" s="814">
        <f t="shared" si="36"/>
        <v>0</v>
      </c>
      <c r="G109" s="814">
        <f t="shared" si="36"/>
        <v>246827</v>
      </c>
      <c r="H109" s="814">
        <f t="shared" si="36"/>
        <v>0</v>
      </c>
      <c r="I109" s="814">
        <f t="shared" si="36"/>
        <v>205197</v>
      </c>
      <c r="J109" s="814">
        <f t="shared" si="36"/>
        <v>0</v>
      </c>
      <c r="K109" s="814">
        <f>SUM(K110:K111)</f>
        <v>0</v>
      </c>
      <c r="L109" s="814">
        <f>SUM(L110:L111)</f>
        <v>0</v>
      </c>
      <c r="M109" s="814">
        <f>SUM(M110:M111)</f>
        <v>0</v>
      </c>
      <c r="N109" s="814">
        <f>SUM(N110:N111)</f>
        <v>0</v>
      </c>
      <c r="O109" s="814">
        <f>SUM(O110:O111)</f>
        <v>0</v>
      </c>
    </row>
    <row r="110" spans="1:15" ht="15" hidden="1">
      <c r="A110" s="507">
        <v>1</v>
      </c>
      <c r="B110" s="429" t="s">
        <v>131</v>
      </c>
      <c r="C110" s="811">
        <f t="shared" si="35"/>
        <v>15454303</v>
      </c>
      <c r="D110" s="841">
        <v>15104051</v>
      </c>
      <c r="E110" s="816">
        <f aca="true" t="shared" si="37" ref="E110:E120">SUM(F110:G110)</f>
        <v>209955</v>
      </c>
      <c r="F110" s="841">
        <v>0</v>
      </c>
      <c r="G110" s="841">
        <v>209955</v>
      </c>
      <c r="H110" s="841">
        <v>0</v>
      </c>
      <c r="I110" s="841">
        <v>140297</v>
      </c>
      <c r="J110" s="841">
        <v>0</v>
      </c>
      <c r="K110" s="841">
        <v>0</v>
      </c>
      <c r="L110" s="841">
        <v>0</v>
      </c>
      <c r="M110" s="841">
        <v>0</v>
      </c>
      <c r="N110" s="841">
        <v>0</v>
      </c>
      <c r="O110" s="841">
        <v>0</v>
      </c>
    </row>
    <row r="111" spans="1:15" ht="15" hidden="1">
      <c r="A111" s="507">
        <v>2</v>
      </c>
      <c r="B111" s="429" t="s">
        <v>132</v>
      </c>
      <c r="C111" s="811">
        <f t="shared" si="35"/>
        <v>1076020</v>
      </c>
      <c r="D111" s="841">
        <v>974248</v>
      </c>
      <c r="E111" s="816">
        <f t="shared" si="37"/>
        <v>36872</v>
      </c>
      <c r="F111" s="841">
        <v>0</v>
      </c>
      <c r="G111" s="841">
        <v>36872</v>
      </c>
      <c r="H111" s="841">
        <v>0</v>
      </c>
      <c r="I111" s="841">
        <v>64900</v>
      </c>
      <c r="J111" s="841">
        <v>0</v>
      </c>
      <c r="K111" s="841">
        <v>0</v>
      </c>
      <c r="L111" s="841">
        <v>0</v>
      </c>
      <c r="M111" s="841">
        <v>0</v>
      </c>
      <c r="N111" s="841">
        <v>0</v>
      </c>
      <c r="O111" s="841">
        <v>0</v>
      </c>
    </row>
    <row r="112" spans="1:15" ht="15.75" hidden="1">
      <c r="A112" s="508" t="s">
        <v>1</v>
      </c>
      <c r="B112" s="394" t="s">
        <v>133</v>
      </c>
      <c r="C112" s="811">
        <f t="shared" si="35"/>
        <v>263137</v>
      </c>
      <c r="D112" s="841">
        <v>263137</v>
      </c>
      <c r="E112" s="816">
        <f t="shared" si="37"/>
        <v>0</v>
      </c>
      <c r="F112" s="406"/>
      <c r="G112" s="406"/>
      <c r="H112" s="406"/>
      <c r="I112" s="406"/>
      <c r="J112" s="406">
        <v>0</v>
      </c>
      <c r="K112" s="406">
        <v>0</v>
      </c>
      <c r="L112" s="406">
        <v>0</v>
      </c>
      <c r="M112" s="406">
        <v>0</v>
      </c>
      <c r="N112" s="406">
        <v>0</v>
      </c>
      <c r="O112" s="818"/>
    </row>
    <row r="113" spans="1:15" ht="15.75" hidden="1">
      <c r="A113" s="508" t="s">
        <v>9</v>
      </c>
      <c r="B113" s="394" t="s">
        <v>134</v>
      </c>
      <c r="C113" s="811">
        <f t="shared" si="35"/>
        <v>0</v>
      </c>
      <c r="D113" s="818"/>
      <c r="E113" s="816">
        <f t="shared" si="37"/>
        <v>0</v>
      </c>
      <c r="F113" s="818"/>
      <c r="G113" s="818"/>
      <c r="H113" s="818"/>
      <c r="I113" s="818"/>
      <c r="J113" s="818"/>
      <c r="K113" s="818"/>
      <c r="L113" s="818"/>
      <c r="M113" s="818"/>
      <c r="N113" s="818"/>
      <c r="O113" s="818"/>
    </row>
    <row r="114" spans="1:15" ht="15" hidden="1">
      <c r="A114" s="508" t="s">
        <v>135</v>
      </c>
      <c r="B114" s="394" t="s">
        <v>136</v>
      </c>
      <c r="C114" s="806">
        <f t="shared" si="35"/>
        <v>16267186</v>
      </c>
      <c r="D114" s="807">
        <f>D109-SUM(D112,D113)</f>
        <v>15815162</v>
      </c>
      <c r="E114" s="814">
        <f t="shared" si="37"/>
        <v>246827</v>
      </c>
      <c r="F114" s="807">
        <f aca="true" t="shared" si="38" ref="F114:O114">F109-SUM(F112,F113)</f>
        <v>0</v>
      </c>
      <c r="G114" s="807">
        <f t="shared" si="38"/>
        <v>246827</v>
      </c>
      <c r="H114" s="807">
        <f t="shared" si="38"/>
        <v>0</v>
      </c>
      <c r="I114" s="807">
        <f t="shared" si="38"/>
        <v>205197</v>
      </c>
      <c r="J114" s="807">
        <f t="shared" si="38"/>
        <v>0</v>
      </c>
      <c r="K114" s="807">
        <f t="shared" si="38"/>
        <v>0</v>
      </c>
      <c r="L114" s="807">
        <f t="shared" si="38"/>
        <v>0</v>
      </c>
      <c r="M114" s="807">
        <f t="shared" si="38"/>
        <v>0</v>
      </c>
      <c r="N114" s="807">
        <f t="shared" si="38"/>
        <v>0</v>
      </c>
      <c r="O114" s="807">
        <f t="shared" si="38"/>
        <v>0</v>
      </c>
    </row>
    <row r="115" spans="1:15" ht="15" hidden="1">
      <c r="A115" s="508" t="s">
        <v>51</v>
      </c>
      <c r="B115" s="430" t="s">
        <v>137</v>
      </c>
      <c r="C115" s="806">
        <f t="shared" si="35"/>
        <v>13240402</v>
      </c>
      <c r="D115" s="815">
        <f>SUM(D116:D122)</f>
        <v>13002685</v>
      </c>
      <c r="E115" s="814">
        <f t="shared" si="37"/>
        <v>35520</v>
      </c>
      <c r="F115" s="815">
        <f aca="true" t="shared" si="39" ref="F115:O115">SUM(F116:F122)</f>
        <v>0</v>
      </c>
      <c r="G115" s="815">
        <f t="shared" si="39"/>
        <v>35520</v>
      </c>
      <c r="H115" s="815">
        <f t="shared" si="39"/>
        <v>0</v>
      </c>
      <c r="I115" s="815">
        <f t="shared" si="39"/>
        <v>202197</v>
      </c>
      <c r="J115" s="815">
        <f t="shared" si="39"/>
        <v>0</v>
      </c>
      <c r="K115" s="815">
        <f t="shared" si="39"/>
        <v>0</v>
      </c>
      <c r="L115" s="815">
        <f t="shared" si="39"/>
        <v>0</v>
      </c>
      <c r="M115" s="815">
        <f t="shared" si="39"/>
        <v>0</v>
      </c>
      <c r="N115" s="815">
        <f t="shared" si="39"/>
        <v>0</v>
      </c>
      <c r="O115" s="815">
        <f t="shared" si="39"/>
        <v>0</v>
      </c>
    </row>
    <row r="116" spans="1:15" ht="15" hidden="1">
      <c r="A116" s="507" t="s">
        <v>53</v>
      </c>
      <c r="B116" s="429" t="s">
        <v>138</v>
      </c>
      <c r="C116" s="811">
        <f t="shared" si="35"/>
        <v>292558</v>
      </c>
      <c r="D116" s="841">
        <v>170228</v>
      </c>
      <c r="E116" s="816">
        <f t="shared" si="37"/>
        <v>3630</v>
      </c>
      <c r="F116" s="841">
        <v>0</v>
      </c>
      <c r="G116" s="841">
        <v>3630</v>
      </c>
      <c r="H116" s="841">
        <v>0</v>
      </c>
      <c r="I116" s="841">
        <v>118700</v>
      </c>
      <c r="J116" s="841">
        <v>0</v>
      </c>
      <c r="K116" s="841">
        <v>0</v>
      </c>
      <c r="L116" s="841">
        <v>0</v>
      </c>
      <c r="M116" s="841">
        <v>0</v>
      </c>
      <c r="N116" s="841">
        <v>0</v>
      </c>
      <c r="O116" s="841">
        <v>0</v>
      </c>
    </row>
    <row r="117" spans="1:15" ht="15" hidden="1">
      <c r="A117" s="507" t="s">
        <v>54</v>
      </c>
      <c r="B117" s="429" t="s">
        <v>139</v>
      </c>
      <c r="C117" s="811">
        <f t="shared" si="35"/>
        <v>4810</v>
      </c>
      <c r="D117" s="841">
        <v>4810</v>
      </c>
      <c r="E117" s="816">
        <f t="shared" si="37"/>
        <v>0</v>
      </c>
      <c r="F117" s="841">
        <v>0</v>
      </c>
      <c r="G117" s="841">
        <v>0</v>
      </c>
      <c r="H117" s="841">
        <v>0</v>
      </c>
      <c r="I117" s="841">
        <v>0</v>
      </c>
      <c r="J117" s="841">
        <v>0</v>
      </c>
      <c r="K117" s="841">
        <v>0</v>
      </c>
      <c r="L117" s="841">
        <v>0</v>
      </c>
      <c r="M117" s="841">
        <v>0</v>
      </c>
      <c r="N117" s="841">
        <v>0</v>
      </c>
      <c r="O117" s="841">
        <v>0</v>
      </c>
    </row>
    <row r="118" spans="1:15" ht="15" hidden="1">
      <c r="A118" s="507" t="s">
        <v>140</v>
      </c>
      <c r="B118" s="429" t="s">
        <v>141</v>
      </c>
      <c r="C118" s="811">
        <f t="shared" si="35"/>
        <v>9987508</v>
      </c>
      <c r="D118" s="841">
        <v>9872121</v>
      </c>
      <c r="E118" s="816">
        <f t="shared" si="37"/>
        <v>31890</v>
      </c>
      <c r="F118" s="841">
        <v>0</v>
      </c>
      <c r="G118" s="841">
        <v>31890</v>
      </c>
      <c r="H118" s="841">
        <v>0</v>
      </c>
      <c r="I118" s="841">
        <v>83497</v>
      </c>
      <c r="J118" s="841">
        <v>0</v>
      </c>
      <c r="K118" s="841">
        <v>0</v>
      </c>
      <c r="L118" s="841">
        <v>0</v>
      </c>
      <c r="M118" s="841">
        <v>0</v>
      </c>
      <c r="N118" s="841">
        <v>0</v>
      </c>
      <c r="O118" s="841">
        <v>0</v>
      </c>
    </row>
    <row r="119" spans="1:15" ht="15.75" hidden="1">
      <c r="A119" s="507" t="s">
        <v>142</v>
      </c>
      <c r="B119" s="429" t="s">
        <v>143</v>
      </c>
      <c r="C119" s="811">
        <f t="shared" si="35"/>
        <v>2896526</v>
      </c>
      <c r="D119" s="841">
        <v>2896526</v>
      </c>
      <c r="E119" s="816">
        <f t="shared" si="37"/>
        <v>0</v>
      </c>
      <c r="F119" s="841">
        <v>0</v>
      </c>
      <c r="G119" s="841">
        <v>0</v>
      </c>
      <c r="H119" s="841">
        <v>0</v>
      </c>
      <c r="I119" s="841">
        <v>0</v>
      </c>
      <c r="J119" s="841">
        <v>0</v>
      </c>
      <c r="K119" s="841">
        <v>0</v>
      </c>
      <c r="L119" s="406">
        <v>0</v>
      </c>
      <c r="M119" s="406">
        <v>0</v>
      </c>
      <c r="N119" s="406">
        <v>0</v>
      </c>
      <c r="O119" s="818"/>
    </row>
    <row r="120" spans="1:15" ht="15.75" hidden="1">
      <c r="A120" s="507" t="s">
        <v>144</v>
      </c>
      <c r="B120" s="429" t="s">
        <v>145</v>
      </c>
      <c r="C120" s="811">
        <f t="shared" si="35"/>
        <v>0</v>
      </c>
      <c r="D120" s="841">
        <v>0</v>
      </c>
      <c r="E120" s="816">
        <f t="shared" si="37"/>
        <v>0</v>
      </c>
      <c r="F120" s="841">
        <v>0</v>
      </c>
      <c r="G120" s="841">
        <v>0</v>
      </c>
      <c r="H120" s="841">
        <v>0</v>
      </c>
      <c r="I120" s="841">
        <v>0</v>
      </c>
      <c r="J120" s="841">
        <v>0</v>
      </c>
      <c r="K120" s="841">
        <v>0</v>
      </c>
      <c r="L120" s="406">
        <v>0</v>
      </c>
      <c r="M120" s="406">
        <v>0</v>
      </c>
      <c r="N120" s="406">
        <v>0</v>
      </c>
      <c r="O120" s="818"/>
    </row>
    <row r="121" spans="1:15" ht="25.5" hidden="1">
      <c r="A121" s="507" t="s">
        <v>146</v>
      </c>
      <c r="B121" s="431" t="s">
        <v>147</v>
      </c>
      <c r="C121" s="811">
        <f t="shared" si="35"/>
        <v>0</v>
      </c>
      <c r="D121" s="841">
        <v>0</v>
      </c>
      <c r="E121" s="816">
        <f>SUM(F121:G121)</f>
        <v>0</v>
      </c>
      <c r="F121" s="406">
        <v>0</v>
      </c>
      <c r="G121" s="406">
        <v>0</v>
      </c>
      <c r="H121" s="406">
        <v>0</v>
      </c>
      <c r="I121" s="406">
        <v>0</v>
      </c>
      <c r="J121" s="406">
        <v>0</v>
      </c>
      <c r="K121" s="406">
        <v>0</v>
      </c>
      <c r="L121" s="406">
        <v>0</v>
      </c>
      <c r="M121" s="406">
        <v>0</v>
      </c>
      <c r="N121" s="406">
        <v>0</v>
      </c>
      <c r="O121" s="818"/>
    </row>
    <row r="122" spans="1:15" ht="15.75" hidden="1">
      <c r="A122" s="507" t="s">
        <v>148</v>
      </c>
      <c r="B122" s="429" t="s">
        <v>149</v>
      </c>
      <c r="C122" s="811">
        <f t="shared" si="35"/>
        <v>59000</v>
      </c>
      <c r="D122" s="841">
        <v>59000</v>
      </c>
      <c r="E122" s="816">
        <f>SUM(F122:G122)</f>
        <v>0</v>
      </c>
      <c r="F122" s="406">
        <v>0</v>
      </c>
      <c r="G122" s="406">
        <v>0</v>
      </c>
      <c r="H122" s="406">
        <v>0</v>
      </c>
      <c r="I122" s="406">
        <v>0</v>
      </c>
      <c r="J122" s="406">
        <v>0</v>
      </c>
      <c r="K122" s="406">
        <v>0</v>
      </c>
      <c r="L122" s="406">
        <v>0</v>
      </c>
      <c r="M122" s="406">
        <v>0</v>
      </c>
      <c r="N122" s="406">
        <v>0</v>
      </c>
      <c r="O122" s="818">
        <f>0+0</f>
        <v>0</v>
      </c>
    </row>
    <row r="123" spans="1:15" ht="15.75" hidden="1">
      <c r="A123" s="508" t="s">
        <v>52</v>
      </c>
      <c r="B123" s="394" t="s">
        <v>150</v>
      </c>
      <c r="C123" s="1071">
        <f>C109-C112-C113-C115</f>
        <v>3026784</v>
      </c>
      <c r="D123" s="1071">
        <f>D109-D112-D113-D115</f>
        <v>2812477</v>
      </c>
      <c r="E123" s="823">
        <f>E114-E115</f>
        <v>211307</v>
      </c>
      <c r="F123" s="823">
        <f aca="true" t="shared" si="40" ref="F123:N123">F114-F115</f>
        <v>0</v>
      </c>
      <c r="G123" s="823">
        <f t="shared" si="40"/>
        <v>211307</v>
      </c>
      <c r="H123" s="823">
        <f t="shared" si="40"/>
        <v>0</v>
      </c>
      <c r="I123" s="823">
        <f t="shared" si="40"/>
        <v>3000</v>
      </c>
      <c r="J123" s="823">
        <f t="shared" si="40"/>
        <v>0</v>
      </c>
      <c r="K123" s="823">
        <f t="shared" si="40"/>
        <v>0</v>
      </c>
      <c r="L123" s="823">
        <f t="shared" si="40"/>
        <v>0</v>
      </c>
      <c r="M123" s="823">
        <f t="shared" si="40"/>
        <v>0</v>
      </c>
      <c r="N123" s="823">
        <f t="shared" si="40"/>
        <v>0</v>
      </c>
      <c r="O123" s="823">
        <f>O114-O115</f>
        <v>0</v>
      </c>
    </row>
    <row r="124" spans="1:15" ht="25.5" hidden="1">
      <c r="A124" s="534" t="s">
        <v>540</v>
      </c>
      <c r="B124" s="470" t="s">
        <v>151</v>
      </c>
      <c r="C124" s="532">
        <f>(C116+C117)/C115</f>
        <v>0.022459136814728133</v>
      </c>
      <c r="D124" s="533">
        <f aca="true" t="shared" si="41" ref="D124:O124">(D116+D117)/D115</f>
        <v>0.013461681183540169</v>
      </c>
      <c r="E124" s="532">
        <f t="shared" si="41"/>
        <v>0.10219594594594594</v>
      </c>
      <c r="F124" s="533" t="e">
        <f t="shared" si="41"/>
        <v>#DIV/0!</v>
      </c>
      <c r="G124" s="533">
        <f t="shared" si="41"/>
        <v>0.10219594594594594</v>
      </c>
      <c r="H124" s="533" t="e">
        <f t="shared" si="41"/>
        <v>#DIV/0!</v>
      </c>
      <c r="I124" s="533">
        <f t="shared" si="41"/>
        <v>0.5870512421054714</v>
      </c>
      <c r="J124" s="533" t="e">
        <f t="shared" si="41"/>
        <v>#DIV/0!</v>
      </c>
      <c r="K124" s="533" t="e">
        <f t="shared" si="41"/>
        <v>#DIV/0!</v>
      </c>
      <c r="L124" s="533" t="e">
        <f t="shared" si="41"/>
        <v>#DIV/0!</v>
      </c>
      <c r="M124" s="533" t="e">
        <f t="shared" si="41"/>
        <v>#DIV/0!</v>
      </c>
      <c r="N124" s="533" t="e">
        <f t="shared" si="41"/>
        <v>#DIV/0!</v>
      </c>
      <c r="O124" s="533" t="e">
        <f t="shared" si="41"/>
        <v>#DIV/0!</v>
      </c>
    </row>
    <row r="125" ht="15" hidden="1"/>
    <row r="126" ht="15" hidden="1">
      <c r="B126" s="904" t="s">
        <v>756</v>
      </c>
    </row>
    <row r="127" ht="15" hidden="1"/>
    <row r="128" spans="1:15" ht="15" hidden="1">
      <c r="A128" s="1478" t="s">
        <v>68</v>
      </c>
      <c r="B128" s="1479"/>
      <c r="C128" s="1487" t="s">
        <v>37</v>
      </c>
      <c r="D128" s="1487" t="s">
        <v>335</v>
      </c>
      <c r="E128" s="1488"/>
      <c r="F128" s="1488"/>
      <c r="G128" s="1488"/>
      <c r="H128" s="1488"/>
      <c r="I128" s="1488"/>
      <c r="J128" s="1488"/>
      <c r="K128" s="1488"/>
      <c r="L128" s="1488"/>
      <c r="M128" s="1488"/>
      <c r="N128" s="1488"/>
      <c r="O128" s="1489"/>
    </row>
    <row r="129" spans="1:15" ht="15" hidden="1">
      <c r="A129" s="1480"/>
      <c r="B129" s="1481"/>
      <c r="C129" s="1501"/>
      <c r="D129" s="1491" t="s">
        <v>119</v>
      </c>
      <c r="E129" s="1498" t="s">
        <v>120</v>
      </c>
      <c r="F129" s="1499"/>
      <c r="G129" s="1500"/>
      <c r="H129" s="1474" t="s">
        <v>121</v>
      </c>
      <c r="I129" s="1474" t="s">
        <v>122</v>
      </c>
      <c r="J129" s="1474" t="s">
        <v>198</v>
      </c>
      <c r="K129" s="1474" t="s">
        <v>124</v>
      </c>
      <c r="L129" s="1474" t="s">
        <v>125</v>
      </c>
      <c r="M129" s="1474" t="s">
        <v>126</v>
      </c>
      <c r="N129" s="1474" t="s">
        <v>183</v>
      </c>
      <c r="O129" s="1474" t="s">
        <v>127</v>
      </c>
    </row>
    <row r="130" spans="1:15" ht="15" hidden="1">
      <c r="A130" s="1480"/>
      <c r="B130" s="1481"/>
      <c r="C130" s="1501"/>
      <c r="D130" s="1491"/>
      <c r="E130" s="1473" t="s">
        <v>36</v>
      </c>
      <c r="F130" s="1476" t="s">
        <v>7</v>
      </c>
      <c r="G130" s="1477"/>
      <c r="H130" s="1474"/>
      <c r="I130" s="1474"/>
      <c r="J130" s="1474"/>
      <c r="K130" s="1474"/>
      <c r="L130" s="1474"/>
      <c r="M130" s="1474"/>
      <c r="N130" s="1474"/>
      <c r="O130" s="1474"/>
    </row>
    <row r="131" spans="1:15" ht="15" hidden="1">
      <c r="A131" s="1482"/>
      <c r="B131" s="1483"/>
      <c r="C131" s="1501"/>
      <c r="D131" s="1492"/>
      <c r="E131" s="1475"/>
      <c r="F131" s="559" t="s">
        <v>199</v>
      </c>
      <c r="G131" s="560" t="s">
        <v>200</v>
      </c>
      <c r="H131" s="1475"/>
      <c r="I131" s="1475"/>
      <c r="J131" s="1475"/>
      <c r="K131" s="1475"/>
      <c r="L131" s="1475"/>
      <c r="M131" s="1475"/>
      <c r="N131" s="1475"/>
      <c r="O131" s="1475"/>
    </row>
    <row r="132" spans="1:15" ht="15" hidden="1">
      <c r="A132" s="1471" t="s">
        <v>39</v>
      </c>
      <c r="B132" s="1472"/>
      <c r="C132" s="505">
        <v>1</v>
      </c>
      <c r="D132" s="505">
        <v>2</v>
      </c>
      <c r="E132" s="505">
        <v>3</v>
      </c>
      <c r="F132" s="505">
        <v>4</v>
      </c>
      <c r="G132" s="505">
        <v>5</v>
      </c>
      <c r="H132" s="505">
        <v>6</v>
      </c>
      <c r="I132" s="505">
        <v>7</v>
      </c>
      <c r="J132" s="505">
        <v>8</v>
      </c>
      <c r="K132" s="505">
        <v>9</v>
      </c>
      <c r="L132" s="505">
        <v>10</v>
      </c>
      <c r="M132" s="505">
        <v>11</v>
      </c>
      <c r="N132" s="505">
        <v>12</v>
      </c>
      <c r="O132" s="505">
        <v>13</v>
      </c>
    </row>
    <row r="133" spans="1:15" ht="15" hidden="1">
      <c r="A133" s="506" t="s">
        <v>0</v>
      </c>
      <c r="B133" s="427" t="s">
        <v>130</v>
      </c>
      <c r="C133" s="806">
        <f aca="true" t="shared" si="42" ref="C133:C146">SUM(D133,E133,H133:O133)</f>
        <v>12090737</v>
      </c>
      <c r="D133" s="814">
        <f>SUM(D134:D135)</f>
        <v>2688705</v>
      </c>
      <c r="E133" s="814">
        <f aca="true" t="shared" si="43" ref="E133:J133">SUM(E134:E135)</f>
        <v>171827</v>
      </c>
      <c r="F133" s="814">
        <f t="shared" si="43"/>
        <v>0</v>
      </c>
      <c r="G133" s="814">
        <f t="shared" si="43"/>
        <v>171827</v>
      </c>
      <c r="H133" s="814">
        <f t="shared" si="43"/>
        <v>0</v>
      </c>
      <c r="I133" s="814">
        <f t="shared" si="43"/>
        <v>236820</v>
      </c>
      <c r="J133" s="814">
        <f t="shared" si="43"/>
        <v>8993385</v>
      </c>
      <c r="K133" s="814">
        <f>SUM(K134:K135)</f>
        <v>0</v>
      </c>
      <c r="L133" s="814">
        <f>SUM(L134:L135)</f>
        <v>0</v>
      </c>
      <c r="M133" s="814">
        <f>SUM(M134:M135)</f>
        <v>0</v>
      </c>
      <c r="N133" s="814">
        <f>SUM(N134:N135)</f>
        <v>0</v>
      </c>
      <c r="O133" s="814">
        <f>SUM(O134:O135)</f>
        <v>0</v>
      </c>
    </row>
    <row r="134" spans="1:15" ht="15" hidden="1">
      <c r="A134" s="507">
        <v>1</v>
      </c>
      <c r="B134" s="429" t="s">
        <v>131</v>
      </c>
      <c r="C134" s="811">
        <f t="shared" si="42"/>
        <v>9821199</v>
      </c>
      <c r="D134" s="1132">
        <v>691276</v>
      </c>
      <c r="E134" s="816">
        <f aca="true" t="shared" si="44" ref="E134:E139">SUM(F134:G134)</f>
        <v>47880</v>
      </c>
      <c r="F134" s="1133"/>
      <c r="G134" s="1133">
        <v>47880</v>
      </c>
      <c r="H134" s="1133"/>
      <c r="I134" s="1133">
        <v>88658</v>
      </c>
      <c r="J134" s="1133">
        <v>8993385</v>
      </c>
      <c r="K134" s="1133"/>
      <c r="L134" s="1133"/>
      <c r="M134" s="1133"/>
      <c r="N134" s="1021"/>
      <c r="O134" s="1021"/>
    </row>
    <row r="135" spans="1:15" ht="15" hidden="1">
      <c r="A135" s="507">
        <v>2</v>
      </c>
      <c r="B135" s="429" t="s">
        <v>132</v>
      </c>
      <c r="C135" s="811">
        <f t="shared" si="42"/>
        <v>2269538</v>
      </c>
      <c r="D135" s="1132">
        <v>1997429</v>
      </c>
      <c r="E135" s="816">
        <f t="shared" si="44"/>
        <v>123947</v>
      </c>
      <c r="F135" s="1133"/>
      <c r="G135" s="1133">
        <v>123947</v>
      </c>
      <c r="H135" s="1133"/>
      <c r="I135" s="1133">
        <v>148162</v>
      </c>
      <c r="J135" s="1133"/>
      <c r="K135" s="1133"/>
      <c r="L135" s="1133"/>
      <c r="M135" s="1133"/>
      <c r="N135" s="1021"/>
      <c r="O135" s="1021"/>
    </row>
    <row r="136" spans="1:15" ht="15" hidden="1">
      <c r="A136" s="508" t="s">
        <v>1</v>
      </c>
      <c r="B136" s="394" t="s">
        <v>133</v>
      </c>
      <c r="C136" s="811">
        <f t="shared" si="42"/>
        <v>0</v>
      </c>
      <c r="D136" s="928"/>
      <c r="E136" s="816">
        <f t="shared" si="44"/>
        <v>0</v>
      </c>
      <c r="F136" s="1134"/>
      <c r="G136" s="1134"/>
      <c r="H136" s="1134"/>
      <c r="I136" s="1134"/>
      <c r="J136" s="1134"/>
      <c r="K136" s="1134"/>
      <c r="L136" s="1134"/>
      <c r="M136" s="1134"/>
      <c r="N136" s="928"/>
      <c r="O136" s="928"/>
    </row>
    <row r="137" spans="1:15" ht="15" hidden="1">
      <c r="A137" s="508" t="s">
        <v>9</v>
      </c>
      <c r="B137" s="394" t="s">
        <v>134</v>
      </c>
      <c r="C137" s="811">
        <f t="shared" si="42"/>
        <v>0</v>
      </c>
      <c r="D137" s="927"/>
      <c r="E137" s="816">
        <f t="shared" si="44"/>
        <v>0</v>
      </c>
      <c r="F137" s="928"/>
      <c r="G137" s="928"/>
      <c r="H137" s="928"/>
      <c r="I137" s="928"/>
      <c r="J137" s="928"/>
      <c r="K137" s="928"/>
      <c r="L137" s="928"/>
      <c r="M137" s="928"/>
      <c r="N137" s="928"/>
      <c r="O137" s="928"/>
    </row>
    <row r="138" spans="1:15" ht="15" hidden="1">
      <c r="A138" s="508" t="s">
        <v>135</v>
      </c>
      <c r="B138" s="394" t="s">
        <v>136</v>
      </c>
      <c r="C138" s="806">
        <f t="shared" si="42"/>
        <v>12090737</v>
      </c>
      <c r="D138" s="807">
        <f>D133-SUM(D136,D137)</f>
        <v>2688705</v>
      </c>
      <c r="E138" s="814">
        <f t="shared" si="44"/>
        <v>171827</v>
      </c>
      <c r="F138" s="807">
        <f aca="true" t="shared" si="45" ref="F138:O138">F133-SUM(F136,F137)</f>
        <v>0</v>
      </c>
      <c r="G138" s="807">
        <f t="shared" si="45"/>
        <v>171827</v>
      </c>
      <c r="H138" s="807">
        <f t="shared" si="45"/>
        <v>0</v>
      </c>
      <c r="I138" s="807">
        <f t="shared" si="45"/>
        <v>236820</v>
      </c>
      <c r="J138" s="807">
        <f t="shared" si="45"/>
        <v>8993385</v>
      </c>
      <c r="K138" s="807">
        <f t="shared" si="45"/>
        <v>0</v>
      </c>
      <c r="L138" s="807">
        <f t="shared" si="45"/>
        <v>0</v>
      </c>
      <c r="M138" s="807">
        <f t="shared" si="45"/>
        <v>0</v>
      </c>
      <c r="N138" s="807">
        <f t="shared" si="45"/>
        <v>0</v>
      </c>
      <c r="O138" s="807">
        <f t="shared" si="45"/>
        <v>0</v>
      </c>
    </row>
    <row r="139" spans="1:15" ht="15" hidden="1">
      <c r="A139" s="508" t="s">
        <v>51</v>
      </c>
      <c r="B139" s="430" t="s">
        <v>137</v>
      </c>
      <c r="C139" s="806">
        <f t="shared" si="42"/>
        <v>11287767</v>
      </c>
      <c r="D139" s="815">
        <f>SUM(D140:D146)</f>
        <v>2121856</v>
      </c>
      <c r="E139" s="814">
        <f t="shared" si="44"/>
        <v>18879</v>
      </c>
      <c r="F139" s="815">
        <f aca="true" t="shared" si="46" ref="F139:O139">SUM(F140:F146)</f>
        <v>0</v>
      </c>
      <c r="G139" s="815">
        <f t="shared" si="46"/>
        <v>18879</v>
      </c>
      <c r="H139" s="815">
        <f t="shared" si="46"/>
        <v>0</v>
      </c>
      <c r="I139" s="815">
        <f t="shared" si="46"/>
        <v>153647</v>
      </c>
      <c r="J139" s="815">
        <f t="shared" si="46"/>
        <v>8993385</v>
      </c>
      <c r="K139" s="815">
        <f t="shared" si="46"/>
        <v>0</v>
      </c>
      <c r="L139" s="815">
        <f t="shared" si="46"/>
        <v>0</v>
      </c>
      <c r="M139" s="815">
        <f t="shared" si="46"/>
        <v>0</v>
      </c>
      <c r="N139" s="815">
        <f t="shared" si="46"/>
        <v>0</v>
      </c>
      <c r="O139" s="815">
        <f t="shared" si="46"/>
        <v>0</v>
      </c>
    </row>
    <row r="140" spans="1:15" ht="15" hidden="1">
      <c r="A140" s="507" t="s">
        <v>53</v>
      </c>
      <c r="B140" s="429" t="s">
        <v>138</v>
      </c>
      <c r="C140" s="811">
        <f t="shared" si="42"/>
        <v>1054147</v>
      </c>
      <c r="D140" s="1022">
        <v>933321</v>
      </c>
      <c r="E140" s="1154">
        <f>F140+G140</f>
        <v>18879</v>
      </c>
      <c r="F140" s="1022"/>
      <c r="G140" s="1022">
        <v>18879</v>
      </c>
      <c r="H140" s="1022"/>
      <c r="I140" s="1022">
        <v>101947</v>
      </c>
      <c r="J140" s="1022"/>
      <c r="K140" s="1022"/>
      <c r="L140" s="929"/>
      <c r="M140" s="929"/>
      <c r="N140" s="928"/>
      <c r="O140" s="928"/>
    </row>
    <row r="141" spans="1:15" ht="15" hidden="1">
      <c r="A141" s="507" t="s">
        <v>54</v>
      </c>
      <c r="B141" s="429" t="s">
        <v>139</v>
      </c>
      <c r="C141" s="811">
        <f t="shared" si="42"/>
        <v>34423</v>
      </c>
      <c r="D141" s="1022">
        <v>34423</v>
      </c>
      <c r="E141" s="1154">
        <f>F141+G141</f>
        <v>0</v>
      </c>
      <c r="F141" s="1022"/>
      <c r="G141" s="1022"/>
      <c r="H141" s="1022"/>
      <c r="I141" s="1022"/>
      <c r="J141" s="1022"/>
      <c r="K141" s="1022"/>
      <c r="L141" s="929"/>
      <c r="M141" s="929"/>
      <c r="N141" s="928"/>
      <c r="O141" s="928"/>
    </row>
    <row r="142" spans="1:15" ht="0.75" customHeight="1" hidden="1">
      <c r="A142" s="507" t="s">
        <v>140</v>
      </c>
      <c r="B142" s="429" t="s">
        <v>141</v>
      </c>
      <c r="C142" s="811">
        <f t="shared" si="42"/>
        <v>10199197</v>
      </c>
      <c r="D142" s="1022">
        <v>1154112</v>
      </c>
      <c r="E142" s="1154">
        <f>F142+G142</f>
        <v>0</v>
      </c>
      <c r="F142" s="1022"/>
      <c r="G142" s="1022">
        <v>0</v>
      </c>
      <c r="H142" s="1022"/>
      <c r="I142" s="1022">
        <v>51700</v>
      </c>
      <c r="J142" s="1022">
        <v>8993385</v>
      </c>
      <c r="K142" s="1022"/>
      <c r="L142" s="929"/>
      <c r="M142" s="929"/>
      <c r="N142" s="928"/>
      <c r="O142" s="928">
        <v>0</v>
      </c>
    </row>
    <row r="143" spans="1:15" ht="15" hidden="1">
      <c r="A143" s="507" t="s">
        <v>142</v>
      </c>
      <c r="B143" s="429" t="s">
        <v>143</v>
      </c>
      <c r="C143" s="811">
        <f t="shared" si="42"/>
        <v>0</v>
      </c>
      <c r="D143" s="1022"/>
      <c r="E143" s="1154">
        <f>F143+G143</f>
        <v>0</v>
      </c>
      <c r="F143" s="1022"/>
      <c r="G143" s="1022"/>
      <c r="H143" s="1022"/>
      <c r="I143" s="1022"/>
      <c r="J143" s="1022"/>
      <c r="K143" s="1022"/>
      <c r="L143" s="929"/>
      <c r="M143" s="929"/>
      <c r="N143" s="929"/>
      <c r="O143" s="929"/>
    </row>
    <row r="144" spans="1:15" ht="15" hidden="1">
      <c r="A144" s="507" t="s">
        <v>144</v>
      </c>
      <c r="B144" s="429" t="s">
        <v>145</v>
      </c>
      <c r="C144" s="811">
        <f t="shared" si="42"/>
        <v>0</v>
      </c>
      <c r="D144" s="1022"/>
      <c r="E144" s="1154">
        <f>F144+G144</f>
        <v>0</v>
      </c>
      <c r="F144" s="1022"/>
      <c r="G144" s="1022"/>
      <c r="H144" s="1022"/>
      <c r="I144" s="1022"/>
      <c r="J144" s="1022"/>
      <c r="K144" s="1022"/>
      <c r="L144" s="929"/>
      <c r="M144" s="929"/>
      <c r="N144" s="929"/>
      <c r="O144" s="929"/>
    </row>
    <row r="145" spans="1:15" ht="25.5" hidden="1">
      <c r="A145" s="507" t="s">
        <v>146</v>
      </c>
      <c r="B145" s="431" t="s">
        <v>147</v>
      </c>
      <c r="C145" s="811">
        <f t="shared" si="42"/>
        <v>0</v>
      </c>
      <c r="D145" s="929"/>
      <c r="E145" s="816">
        <f>SUM(F145:G145)</f>
        <v>0</v>
      </c>
      <c r="F145" s="929"/>
      <c r="G145" s="929"/>
      <c r="H145" s="929"/>
      <c r="I145" s="929"/>
      <c r="J145" s="929"/>
      <c r="K145" s="929"/>
      <c r="L145" s="929"/>
      <c r="M145" s="929"/>
      <c r="N145" s="929"/>
      <c r="O145" s="929"/>
    </row>
    <row r="146" spans="1:15" ht="15" hidden="1">
      <c r="A146" s="507" t="s">
        <v>148</v>
      </c>
      <c r="B146" s="429" t="s">
        <v>149</v>
      </c>
      <c r="C146" s="811">
        <f t="shared" si="42"/>
        <v>0</v>
      </c>
      <c r="D146" s="929"/>
      <c r="E146" s="816">
        <f>SUM(F146:G146)</f>
        <v>0</v>
      </c>
      <c r="F146" s="929"/>
      <c r="G146" s="929"/>
      <c r="H146" s="929"/>
      <c r="I146" s="929"/>
      <c r="J146" s="929"/>
      <c r="K146" s="929"/>
      <c r="L146" s="929"/>
      <c r="M146" s="929"/>
      <c r="N146" s="928"/>
      <c r="O146" s="928"/>
    </row>
    <row r="147" spans="1:15" ht="15" hidden="1">
      <c r="A147" s="508" t="s">
        <v>52</v>
      </c>
      <c r="B147" s="394" t="s">
        <v>150</v>
      </c>
      <c r="C147" s="823">
        <f>C133-C136-C137-C139</f>
        <v>802970</v>
      </c>
      <c r="D147" s="823">
        <f>D138-D139</f>
        <v>566849</v>
      </c>
      <c r="E147" s="823">
        <f aca="true" t="shared" si="47" ref="E147:O147">E138-E139</f>
        <v>152948</v>
      </c>
      <c r="F147" s="823">
        <f t="shared" si="47"/>
        <v>0</v>
      </c>
      <c r="G147" s="823">
        <f t="shared" si="47"/>
        <v>152948</v>
      </c>
      <c r="H147" s="823">
        <f t="shared" si="47"/>
        <v>0</v>
      </c>
      <c r="I147" s="823">
        <f t="shared" si="47"/>
        <v>83173</v>
      </c>
      <c r="J147" s="823">
        <f t="shared" si="47"/>
        <v>0</v>
      </c>
      <c r="K147" s="823">
        <f t="shared" si="47"/>
        <v>0</v>
      </c>
      <c r="L147" s="823">
        <f t="shared" si="47"/>
        <v>0</v>
      </c>
      <c r="M147" s="823">
        <f t="shared" si="47"/>
        <v>0</v>
      </c>
      <c r="N147" s="823">
        <f t="shared" si="47"/>
        <v>0</v>
      </c>
      <c r="O147" s="823">
        <f t="shared" si="47"/>
        <v>0</v>
      </c>
    </row>
    <row r="148" spans="1:15" ht="25.5" hidden="1">
      <c r="A148" s="534" t="s">
        <v>540</v>
      </c>
      <c r="B148" s="470" t="s">
        <v>151</v>
      </c>
      <c r="C148" s="532">
        <f>(C140+C141)/C139</f>
        <v>0.09643802888560687</v>
      </c>
      <c r="D148" s="533">
        <f aca="true" t="shared" si="48" ref="D148:O148">(D140+D141)/D139</f>
        <v>0.45608373046992823</v>
      </c>
      <c r="E148" s="532">
        <f t="shared" si="48"/>
        <v>1</v>
      </c>
      <c r="F148" s="533" t="e">
        <f t="shared" si="48"/>
        <v>#DIV/0!</v>
      </c>
      <c r="G148" s="533">
        <f t="shared" si="48"/>
        <v>1</v>
      </c>
      <c r="H148" s="533" t="e">
        <f t="shared" si="48"/>
        <v>#DIV/0!</v>
      </c>
      <c r="I148" s="533">
        <f t="shared" si="48"/>
        <v>0.6635144194159339</v>
      </c>
      <c r="J148" s="533">
        <f t="shared" si="48"/>
        <v>0</v>
      </c>
      <c r="K148" s="533" t="e">
        <f t="shared" si="48"/>
        <v>#DIV/0!</v>
      </c>
      <c r="L148" s="533" t="e">
        <f t="shared" si="48"/>
        <v>#DIV/0!</v>
      </c>
      <c r="M148" s="533" t="e">
        <f t="shared" si="48"/>
        <v>#DIV/0!</v>
      </c>
      <c r="N148" s="533" t="e">
        <f t="shared" si="48"/>
        <v>#DIV/0!</v>
      </c>
      <c r="O148" s="533" t="e">
        <f t="shared" si="48"/>
        <v>#DIV/0!</v>
      </c>
    </row>
    <row r="149" ht="15" hidden="1"/>
    <row r="150" ht="15" hidden="1">
      <c r="B150" s="904" t="s">
        <v>753</v>
      </c>
    </row>
    <row r="151" spans="1:15" ht="15" hidden="1">
      <c r="A151" s="1478" t="s">
        <v>68</v>
      </c>
      <c r="B151" s="1479"/>
      <c r="C151" s="1487" t="s">
        <v>37</v>
      </c>
      <c r="D151" s="1487" t="s">
        <v>335</v>
      </c>
      <c r="E151" s="1488"/>
      <c r="F151" s="1488"/>
      <c r="G151" s="1488"/>
      <c r="H151" s="1488"/>
      <c r="I151" s="1488"/>
      <c r="J151" s="1488"/>
      <c r="K151" s="1488"/>
      <c r="L151" s="1488"/>
      <c r="M151" s="1488"/>
      <c r="N151" s="1488"/>
      <c r="O151" s="1489"/>
    </row>
    <row r="152" spans="1:15" ht="15" hidden="1">
      <c r="A152" s="1480"/>
      <c r="B152" s="1481"/>
      <c r="C152" s="1501"/>
      <c r="D152" s="1491" t="s">
        <v>119</v>
      </c>
      <c r="E152" s="1498" t="s">
        <v>120</v>
      </c>
      <c r="F152" s="1499"/>
      <c r="G152" s="1500"/>
      <c r="H152" s="1474" t="s">
        <v>121</v>
      </c>
      <c r="I152" s="1474" t="s">
        <v>122</v>
      </c>
      <c r="J152" s="1474" t="s">
        <v>198</v>
      </c>
      <c r="K152" s="1474" t="s">
        <v>124</v>
      </c>
      <c r="L152" s="1474" t="s">
        <v>125</v>
      </c>
      <c r="M152" s="1474" t="s">
        <v>126</v>
      </c>
      <c r="N152" s="1474" t="s">
        <v>183</v>
      </c>
      <c r="O152" s="1474" t="s">
        <v>127</v>
      </c>
    </row>
    <row r="153" spans="1:15" ht="9.75" customHeight="1" hidden="1">
      <c r="A153" s="1480"/>
      <c r="B153" s="1481"/>
      <c r="C153" s="1501"/>
      <c r="D153" s="1491"/>
      <c r="E153" s="1473" t="s">
        <v>36</v>
      </c>
      <c r="F153" s="1476" t="s">
        <v>7</v>
      </c>
      <c r="G153" s="1477"/>
      <c r="H153" s="1474"/>
      <c r="I153" s="1474"/>
      <c r="J153" s="1474"/>
      <c r="K153" s="1474"/>
      <c r="L153" s="1474"/>
      <c r="M153" s="1474"/>
      <c r="N153" s="1474"/>
      <c r="O153" s="1474"/>
    </row>
    <row r="154" spans="1:15" ht="15" hidden="1">
      <c r="A154" s="1482"/>
      <c r="B154" s="1483"/>
      <c r="C154" s="1501"/>
      <c r="D154" s="1492"/>
      <c r="E154" s="1475"/>
      <c r="F154" s="559" t="s">
        <v>199</v>
      </c>
      <c r="G154" s="560" t="s">
        <v>200</v>
      </c>
      <c r="H154" s="1475"/>
      <c r="I154" s="1475"/>
      <c r="J154" s="1475"/>
      <c r="K154" s="1475"/>
      <c r="L154" s="1475"/>
      <c r="M154" s="1475"/>
      <c r="N154" s="1475"/>
      <c r="O154" s="1475"/>
    </row>
    <row r="155" spans="1:15" ht="15" hidden="1">
      <c r="A155" s="1471" t="s">
        <v>39</v>
      </c>
      <c r="B155" s="1472"/>
      <c r="C155" s="505">
        <v>1</v>
      </c>
      <c r="D155" s="505">
        <v>2</v>
      </c>
      <c r="E155" s="505">
        <v>3</v>
      </c>
      <c r="F155" s="505">
        <v>4</v>
      </c>
      <c r="G155" s="505">
        <v>5</v>
      </c>
      <c r="H155" s="505">
        <v>6</v>
      </c>
      <c r="I155" s="505">
        <v>7</v>
      </c>
      <c r="J155" s="505">
        <v>8</v>
      </c>
      <c r="K155" s="505">
        <v>9</v>
      </c>
      <c r="L155" s="505">
        <v>10</v>
      </c>
      <c r="M155" s="505">
        <v>11</v>
      </c>
      <c r="N155" s="505">
        <v>12</v>
      </c>
      <c r="O155" s="505">
        <v>13</v>
      </c>
    </row>
    <row r="156" spans="1:15" ht="15" hidden="1">
      <c r="A156" s="506" t="s">
        <v>0</v>
      </c>
      <c r="B156" s="427" t="s">
        <v>130</v>
      </c>
      <c r="C156" s="806">
        <f aca="true" t="shared" si="49" ref="C156:C169">SUM(D156,E156,H156:O156)</f>
        <v>4930142</v>
      </c>
      <c r="D156" s="814">
        <f>SUM(D157:D158)</f>
        <v>3485734</v>
      </c>
      <c r="E156" s="814">
        <f aca="true" t="shared" si="50" ref="E156:J156">SUM(E157:E158)</f>
        <v>875755</v>
      </c>
      <c r="F156" s="814">
        <f t="shared" si="50"/>
        <v>0</v>
      </c>
      <c r="G156" s="814">
        <f t="shared" si="50"/>
        <v>875755</v>
      </c>
      <c r="H156" s="814">
        <f t="shared" si="50"/>
        <v>0</v>
      </c>
      <c r="I156" s="814">
        <f t="shared" si="50"/>
        <v>265620</v>
      </c>
      <c r="J156" s="814">
        <f t="shared" si="50"/>
        <v>303033</v>
      </c>
      <c r="K156" s="814">
        <f>SUM(K157:K158)</f>
        <v>0</v>
      </c>
      <c r="L156" s="814">
        <f>SUM(L157:L158)</f>
        <v>0</v>
      </c>
      <c r="M156" s="814">
        <f>SUM(M157:M158)</f>
        <v>0</v>
      </c>
      <c r="N156" s="814">
        <f>SUM(N157:N158)</f>
        <v>0</v>
      </c>
      <c r="O156" s="814">
        <f>SUM(O157:O158)</f>
        <v>0</v>
      </c>
    </row>
    <row r="157" spans="1:15" ht="15.75" hidden="1">
      <c r="A157" s="507">
        <v>1</v>
      </c>
      <c r="B157" s="429" t="s">
        <v>131</v>
      </c>
      <c r="C157" s="811">
        <f t="shared" si="49"/>
        <v>2733566</v>
      </c>
      <c r="D157" s="822">
        <f>11035+347600+2086848</f>
        <v>2445483</v>
      </c>
      <c r="E157" s="816">
        <f aca="true" t="shared" si="51" ref="E157:E167">SUM(F157:G157)</f>
        <v>258463</v>
      </c>
      <c r="F157" s="822">
        <f>0+0+0</f>
        <v>0</v>
      </c>
      <c r="G157" s="822">
        <f>203158+35325+19980</f>
        <v>258463</v>
      </c>
      <c r="H157" s="822"/>
      <c r="I157" s="822">
        <f>8470+6350+14800</f>
        <v>29620</v>
      </c>
      <c r="J157" s="822">
        <v>0</v>
      </c>
      <c r="K157" s="822"/>
      <c r="L157" s="822"/>
      <c r="M157" s="822"/>
      <c r="N157" s="822"/>
      <c r="O157" s="822"/>
    </row>
    <row r="158" spans="1:15" ht="15.75" hidden="1">
      <c r="A158" s="507">
        <v>2</v>
      </c>
      <c r="B158" s="429" t="s">
        <v>132</v>
      </c>
      <c r="C158" s="811">
        <f t="shared" si="49"/>
        <v>2196576</v>
      </c>
      <c r="D158" s="818">
        <f>6000+579085+455166</f>
        <v>1040251</v>
      </c>
      <c r="E158" s="816">
        <f t="shared" si="51"/>
        <v>617292</v>
      </c>
      <c r="F158" s="818"/>
      <c r="G158" s="818">
        <f>116592+183830+316870</f>
        <v>617292</v>
      </c>
      <c r="H158" s="818"/>
      <c r="I158" s="818">
        <f>83400+77800+74800</f>
        <v>236000</v>
      </c>
      <c r="J158" s="818">
        <v>303033</v>
      </c>
      <c r="K158" s="818"/>
      <c r="L158" s="818"/>
      <c r="M158" s="818"/>
      <c r="N158" s="818"/>
      <c r="O158" s="818"/>
    </row>
    <row r="159" spans="1:15" ht="15.75" hidden="1">
      <c r="A159" s="508" t="s">
        <v>1</v>
      </c>
      <c r="B159" s="394" t="s">
        <v>133</v>
      </c>
      <c r="C159" s="811">
        <f t="shared" si="49"/>
        <v>89475</v>
      </c>
      <c r="D159" s="1089">
        <v>0</v>
      </c>
      <c r="E159" s="816">
        <f t="shared" si="51"/>
        <v>51675</v>
      </c>
      <c r="F159" s="1089"/>
      <c r="G159" s="1089">
        <f>20475+31200</f>
        <v>51675</v>
      </c>
      <c r="H159" s="1089"/>
      <c r="I159" s="1089">
        <v>37800</v>
      </c>
      <c r="J159" s="1089"/>
      <c r="K159" s="1089"/>
      <c r="L159" s="1089"/>
      <c r="M159" s="1089"/>
      <c r="N159" s="1089"/>
      <c r="O159" s="818"/>
    </row>
    <row r="160" spans="1:15" ht="15.75" hidden="1">
      <c r="A160" s="508" t="s">
        <v>9</v>
      </c>
      <c r="B160" s="394" t="s">
        <v>134</v>
      </c>
      <c r="C160" s="811">
        <f t="shared" si="49"/>
        <v>0</v>
      </c>
      <c r="D160" s="818"/>
      <c r="E160" s="816">
        <f t="shared" si="51"/>
        <v>0</v>
      </c>
      <c r="F160" s="818"/>
      <c r="G160" s="818"/>
      <c r="H160" s="818"/>
      <c r="I160" s="818"/>
      <c r="J160" s="818"/>
      <c r="K160" s="818"/>
      <c r="L160" s="818"/>
      <c r="M160" s="818"/>
      <c r="N160" s="818"/>
      <c r="O160" s="818"/>
    </row>
    <row r="161" spans="1:15" ht="15" hidden="1">
      <c r="A161" s="508" t="s">
        <v>135</v>
      </c>
      <c r="B161" s="394" t="s">
        <v>136</v>
      </c>
      <c r="C161" s="806">
        <f t="shared" si="49"/>
        <v>4840667</v>
      </c>
      <c r="D161" s="807">
        <f>D156-SUM(D159,D160)</f>
        <v>3485734</v>
      </c>
      <c r="E161" s="814">
        <f t="shared" si="51"/>
        <v>824080</v>
      </c>
      <c r="F161" s="807">
        <f aca="true" t="shared" si="52" ref="F161:O161">F156-SUM(F159,F160)</f>
        <v>0</v>
      </c>
      <c r="G161" s="807">
        <f t="shared" si="52"/>
        <v>824080</v>
      </c>
      <c r="H161" s="807">
        <f t="shared" si="52"/>
        <v>0</v>
      </c>
      <c r="I161" s="807">
        <f t="shared" si="52"/>
        <v>227820</v>
      </c>
      <c r="J161" s="807">
        <f t="shared" si="52"/>
        <v>303033</v>
      </c>
      <c r="K161" s="807">
        <f t="shared" si="52"/>
        <v>0</v>
      </c>
      <c r="L161" s="807">
        <f t="shared" si="52"/>
        <v>0</v>
      </c>
      <c r="M161" s="807">
        <f t="shared" si="52"/>
        <v>0</v>
      </c>
      <c r="N161" s="807">
        <f t="shared" si="52"/>
        <v>0</v>
      </c>
      <c r="O161" s="807">
        <f t="shared" si="52"/>
        <v>0</v>
      </c>
    </row>
    <row r="162" spans="1:15" ht="15" hidden="1">
      <c r="A162" s="508" t="s">
        <v>51</v>
      </c>
      <c r="B162" s="430" t="s">
        <v>137</v>
      </c>
      <c r="C162" s="806">
        <f t="shared" si="49"/>
        <v>2849562</v>
      </c>
      <c r="D162" s="815">
        <f>SUM(D163:D169)</f>
        <v>2196733</v>
      </c>
      <c r="E162" s="814">
        <f t="shared" si="51"/>
        <v>387183</v>
      </c>
      <c r="F162" s="815">
        <f aca="true" t="shared" si="53" ref="F162:O162">SUM(F163:F169)</f>
        <v>0</v>
      </c>
      <c r="G162" s="815">
        <f t="shared" si="53"/>
        <v>387183</v>
      </c>
      <c r="H162" s="815">
        <f t="shared" si="53"/>
        <v>0</v>
      </c>
      <c r="I162" s="815">
        <f t="shared" si="53"/>
        <v>170500</v>
      </c>
      <c r="J162" s="815">
        <f t="shared" si="53"/>
        <v>95146</v>
      </c>
      <c r="K162" s="815">
        <f t="shared" si="53"/>
        <v>0</v>
      </c>
      <c r="L162" s="815">
        <f t="shared" si="53"/>
        <v>0</v>
      </c>
      <c r="M162" s="815">
        <f t="shared" si="53"/>
        <v>0</v>
      </c>
      <c r="N162" s="815">
        <f t="shared" si="53"/>
        <v>0</v>
      </c>
      <c r="O162" s="815">
        <f t="shared" si="53"/>
        <v>0</v>
      </c>
    </row>
    <row r="163" spans="1:15" ht="15.75" hidden="1">
      <c r="A163" s="507" t="s">
        <v>53</v>
      </c>
      <c r="B163" s="429" t="s">
        <v>138</v>
      </c>
      <c r="C163" s="811">
        <f t="shared" si="49"/>
        <v>1039517</v>
      </c>
      <c r="D163" s="817">
        <f>3035+65544+712723</f>
        <v>781302</v>
      </c>
      <c r="E163" s="816">
        <f t="shared" si="51"/>
        <v>95269</v>
      </c>
      <c r="F163" s="817"/>
      <c r="G163" s="817">
        <f>19614+51130+24525</f>
        <v>95269</v>
      </c>
      <c r="H163" s="817"/>
      <c r="I163" s="817">
        <f>32900+15300+19600</f>
        <v>67800</v>
      </c>
      <c r="J163" s="817">
        <v>95146</v>
      </c>
      <c r="K163" s="817"/>
      <c r="L163" s="817"/>
      <c r="M163" s="908"/>
      <c r="N163" s="908"/>
      <c r="O163" s="817"/>
    </row>
    <row r="164" spans="1:15" ht="15.75" hidden="1">
      <c r="A164" s="507" t="s">
        <v>54</v>
      </c>
      <c r="B164" s="429" t="s">
        <v>139</v>
      </c>
      <c r="C164" s="811">
        <f t="shared" si="49"/>
        <v>16590</v>
      </c>
      <c r="D164" s="818">
        <v>8400</v>
      </c>
      <c r="E164" s="816">
        <f t="shared" si="51"/>
        <v>8190</v>
      </c>
      <c r="F164" s="818"/>
      <c r="G164" s="818">
        <v>8190</v>
      </c>
      <c r="H164" s="818"/>
      <c r="I164" s="818"/>
      <c r="J164" s="818"/>
      <c r="K164" s="818"/>
      <c r="L164" s="818"/>
      <c r="M164" s="906"/>
      <c r="N164" s="906"/>
      <c r="O164" s="818"/>
    </row>
    <row r="165" spans="1:15" ht="15.75" hidden="1">
      <c r="A165" s="507" t="s">
        <v>140</v>
      </c>
      <c r="B165" s="429" t="s">
        <v>141</v>
      </c>
      <c r="C165" s="811">
        <f t="shared" si="49"/>
        <v>1793455</v>
      </c>
      <c r="D165" s="818">
        <f>6000+808567+592464</f>
        <v>1407031</v>
      </c>
      <c r="E165" s="816">
        <f t="shared" si="51"/>
        <v>283724</v>
      </c>
      <c r="F165" s="818"/>
      <c r="G165" s="818">
        <f>107752+80000+95972</f>
        <v>283724</v>
      </c>
      <c r="H165" s="818"/>
      <c r="I165" s="818">
        <f>12700+51200+38800</f>
        <v>102700</v>
      </c>
      <c r="J165" s="818">
        <v>0</v>
      </c>
      <c r="K165" s="818"/>
      <c r="L165" s="818"/>
      <c r="M165" s="906"/>
      <c r="N165" s="906"/>
      <c r="O165" s="818"/>
    </row>
    <row r="166" spans="1:15" ht="15.75" hidden="1">
      <c r="A166" s="507" t="s">
        <v>142</v>
      </c>
      <c r="B166" s="429" t="s">
        <v>143</v>
      </c>
      <c r="C166" s="811">
        <f t="shared" si="49"/>
        <v>0</v>
      </c>
      <c r="D166" s="818">
        <v>0</v>
      </c>
      <c r="E166" s="816">
        <f t="shared" si="51"/>
        <v>0</v>
      </c>
      <c r="F166" s="906"/>
      <c r="G166" s="906"/>
      <c r="H166" s="906"/>
      <c r="I166" s="906"/>
      <c r="J166" s="907"/>
      <c r="K166" s="906"/>
      <c r="L166" s="906"/>
      <c r="M166" s="906"/>
      <c r="N166" s="906"/>
      <c r="O166" s="818"/>
    </row>
    <row r="167" spans="1:15" ht="15.75" hidden="1">
      <c r="A167" s="507" t="s">
        <v>144</v>
      </c>
      <c r="B167" s="429" t="s">
        <v>145</v>
      </c>
      <c r="C167" s="811">
        <f t="shared" si="49"/>
        <v>0</v>
      </c>
      <c r="D167" s="818"/>
      <c r="E167" s="816">
        <f t="shared" si="51"/>
        <v>0</v>
      </c>
      <c r="F167" s="818"/>
      <c r="G167" s="818"/>
      <c r="H167" s="818"/>
      <c r="I167" s="818"/>
      <c r="J167" s="818"/>
      <c r="K167" s="818"/>
      <c r="L167" s="818"/>
      <c r="M167" s="818"/>
      <c r="N167" s="818"/>
      <c r="O167" s="818"/>
    </row>
    <row r="168" spans="1:15" ht="25.5" hidden="1">
      <c r="A168" s="507" t="s">
        <v>146</v>
      </c>
      <c r="B168" s="431" t="s">
        <v>147</v>
      </c>
      <c r="C168" s="811">
        <f t="shared" si="49"/>
        <v>0</v>
      </c>
      <c r="D168" s="818"/>
      <c r="E168" s="816">
        <f>SUM(F168:G168)</f>
        <v>0</v>
      </c>
      <c r="F168" s="818"/>
      <c r="G168" s="818"/>
      <c r="H168" s="818"/>
      <c r="I168" s="818"/>
      <c r="J168" s="818"/>
      <c r="K168" s="818"/>
      <c r="L168" s="818"/>
      <c r="M168" s="818"/>
      <c r="N168" s="818"/>
      <c r="O168" s="818"/>
    </row>
    <row r="169" spans="1:15" ht="15.75" hidden="1">
      <c r="A169" s="507" t="s">
        <v>148</v>
      </c>
      <c r="B169" s="429" t="s">
        <v>149</v>
      </c>
      <c r="C169" s="811">
        <f t="shared" si="49"/>
        <v>0</v>
      </c>
      <c r="D169" s="818">
        <v>0</v>
      </c>
      <c r="E169" s="816">
        <f>SUM(F169:G169)</f>
        <v>0</v>
      </c>
      <c r="F169" s="818">
        <f aca="true" t="shared" si="54" ref="F169:O169">0+0</f>
        <v>0</v>
      </c>
      <c r="G169" s="818">
        <f t="shared" si="54"/>
        <v>0</v>
      </c>
      <c r="H169" s="818">
        <f t="shared" si="54"/>
        <v>0</v>
      </c>
      <c r="I169" s="818">
        <f t="shared" si="54"/>
        <v>0</v>
      </c>
      <c r="J169" s="818">
        <f t="shared" si="54"/>
        <v>0</v>
      </c>
      <c r="K169" s="818">
        <f t="shared" si="54"/>
        <v>0</v>
      </c>
      <c r="L169" s="818">
        <f t="shared" si="54"/>
        <v>0</v>
      </c>
      <c r="M169" s="818">
        <f t="shared" si="54"/>
        <v>0</v>
      </c>
      <c r="N169" s="818">
        <f t="shared" si="54"/>
        <v>0</v>
      </c>
      <c r="O169" s="818">
        <f t="shared" si="54"/>
        <v>0</v>
      </c>
    </row>
    <row r="170" spans="1:15" ht="15" hidden="1">
      <c r="A170" s="508" t="s">
        <v>52</v>
      </c>
      <c r="B170" s="394" t="s">
        <v>150</v>
      </c>
      <c r="C170" s="823">
        <f>C156-C159-C160-C162</f>
        <v>1991105</v>
      </c>
      <c r="D170" s="823">
        <f>D161-D162</f>
        <v>1289001</v>
      </c>
      <c r="E170" s="823">
        <f aca="true" t="shared" si="55" ref="E170:O170">E161-E162</f>
        <v>436897</v>
      </c>
      <c r="F170" s="823">
        <f t="shared" si="55"/>
        <v>0</v>
      </c>
      <c r="G170" s="823">
        <f t="shared" si="55"/>
        <v>436897</v>
      </c>
      <c r="H170" s="823">
        <f t="shared" si="55"/>
        <v>0</v>
      </c>
      <c r="I170" s="823">
        <f t="shared" si="55"/>
        <v>57320</v>
      </c>
      <c r="J170" s="823">
        <f t="shared" si="55"/>
        <v>207887</v>
      </c>
      <c r="K170" s="823">
        <f t="shared" si="55"/>
        <v>0</v>
      </c>
      <c r="L170" s="823">
        <f t="shared" si="55"/>
        <v>0</v>
      </c>
      <c r="M170" s="823">
        <f t="shared" si="55"/>
        <v>0</v>
      </c>
      <c r="N170" s="823">
        <f t="shared" si="55"/>
        <v>0</v>
      </c>
      <c r="O170" s="823">
        <f t="shared" si="55"/>
        <v>0</v>
      </c>
    </row>
    <row r="171" spans="1:15" ht="25.5" hidden="1">
      <c r="A171" s="534" t="s">
        <v>540</v>
      </c>
      <c r="B171" s="470" t="s">
        <v>151</v>
      </c>
      <c r="C171" s="532">
        <f>(C163+C164)/C162</f>
        <v>0.3706208182169751</v>
      </c>
      <c r="D171" s="533">
        <f aca="true" t="shared" si="56" ref="D171:O171">(D163+D164)/D162</f>
        <v>0.35948929615023767</v>
      </c>
      <c r="E171" s="532">
        <f t="shared" si="56"/>
        <v>0.267209562403308</v>
      </c>
      <c r="F171" s="533" t="e">
        <f t="shared" si="56"/>
        <v>#DIV/0!</v>
      </c>
      <c r="G171" s="533">
        <f t="shared" si="56"/>
        <v>0.267209562403308</v>
      </c>
      <c r="H171" s="533" t="e">
        <f t="shared" si="56"/>
        <v>#DIV/0!</v>
      </c>
      <c r="I171" s="533">
        <f t="shared" si="56"/>
        <v>0.3976539589442815</v>
      </c>
      <c r="J171" s="533">
        <f t="shared" si="56"/>
        <v>1</v>
      </c>
      <c r="K171" s="533" t="e">
        <f t="shared" si="56"/>
        <v>#DIV/0!</v>
      </c>
      <c r="L171" s="533" t="e">
        <f t="shared" si="56"/>
        <v>#DIV/0!</v>
      </c>
      <c r="M171" s="533" t="e">
        <f t="shared" si="56"/>
        <v>#DIV/0!</v>
      </c>
      <c r="N171" s="533" t="e">
        <f t="shared" si="56"/>
        <v>#DIV/0!</v>
      </c>
      <c r="O171" s="533" t="e">
        <f t="shared" si="56"/>
        <v>#DIV/0!</v>
      </c>
    </row>
    <row r="172" ht="15" hidden="1"/>
    <row r="173" ht="15" hidden="1">
      <c r="B173" s="904" t="s">
        <v>757</v>
      </c>
    </row>
    <row r="174" spans="1:15" ht="15" hidden="1">
      <c r="A174" s="1478" t="s">
        <v>68</v>
      </c>
      <c r="B174" s="1479"/>
      <c r="C174" s="1487" t="s">
        <v>37</v>
      </c>
      <c r="D174" s="1487" t="s">
        <v>335</v>
      </c>
      <c r="E174" s="1488"/>
      <c r="F174" s="1488"/>
      <c r="G174" s="1488"/>
      <c r="H174" s="1488"/>
      <c r="I174" s="1488"/>
      <c r="J174" s="1488"/>
      <c r="K174" s="1488"/>
      <c r="L174" s="1488"/>
      <c r="M174" s="1488"/>
      <c r="N174" s="1488"/>
      <c r="O174" s="1489"/>
    </row>
    <row r="175" spans="1:15" ht="15" hidden="1">
      <c r="A175" s="1480"/>
      <c r="B175" s="1481"/>
      <c r="C175" s="1501"/>
      <c r="D175" s="1491" t="s">
        <v>119</v>
      </c>
      <c r="E175" s="1498" t="s">
        <v>120</v>
      </c>
      <c r="F175" s="1499"/>
      <c r="G175" s="1500"/>
      <c r="H175" s="1474" t="s">
        <v>121</v>
      </c>
      <c r="I175" s="1474" t="s">
        <v>122</v>
      </c>
      <c r="J175" s="1474" t="s">
        <v>198</v>
      </c>
      <c r="K175" s="1474" t="s">
        <v>124</v>
      </c>
      <c r="L175" s="1474" t="s">
        <v>125</v>
      </c>
      <c r="M175" s="1474" t="s">
        <v>126</v>
      </c>
      <c r="N175" s="1474" t="s">
        <v>183</v>
      </c>
      <c r="O175" s="1474" t="s">
        <v>127</v>
      </c>
    </row>
    <row r="176" spans="1:15" ht="15" hidden="1">
      <c r="A176" s="1480"/>
      <c r="B176" s="1481"/>
      <c r="C176" s="1501"/>
      <c r="D176" s="1491"/>
      <c r="E176" s="1473" t="s">
        <v>36</v>
      </c>
      <c r="F176" s="1476" t="s">
        <v>7</v>
      </c>
      <c r="G176" s="1477"/>
      <c r="H176" s="1474"/>
      <c r="I176" s="1474"/>
      <c r="J176" s="1474"/>
      <c r="K176" s="1474"/>
      <c r="L176" s="1474"/>
      <c r="M176" s="1474"/>
      <c r="N176" s="1474"/>
      <c r="O176" s="1474"/>
    </row>
    <row r="177" spans="1:15" ht="15" hidden="1">
      <c r="A177" s="1482"/>
      <c r="B177" s="1483"/>
      <c r="C177" s="1501"/>
      <c r="D177" s="1492"/>
      <c r="E177" s="1475"/>
      <c r="F177" s="559" t="s">
        <v>199</v>
      </c>
      <c r="G177" s="560" t="s">
        <v>200</v>
      </c>
      <c r="H177" s="1475"/>
      <c r="I177" s="1475"/>
      <c r="J177" s="1475"/>
      <c r="K177" s="1475"/>
      <c r="L177" s="1475"/>
      <c r="M177" s="1475"/>
      <c r="N177" s="1475"/>
      <c r="O177" s="1475"/>
    </row>
    <row r="178" spans="1:15" ht="15" hidden="1">
      <c r="A178" s="1471" t="s">
        <v>39</v>
      </c>
      <c r="B178" s="1472"/>
      <c r="C178" s="505">
        <v>1</v>
      </c>
      <c r="D178" s="505">
        <v>2</v>
      </c>
      <c r="E178" s="505">
        <v>3</v>
      </c>
      <c r="F178" s="505">
        <v>4</v>
      </c>
      <c r="G178" s="505">
        <v>5</v>
      </c>
      <c r="H178" s="505">
        <v>6</v>
      </c>
      <c r="I178" s="505">
        <v>7</v>
      </c>
      <c r="J178" s="505">
        <v>8</v>
      </c>
      <c r="K178" s="505">
        <v>9</v>
      </c>
      <c r="L178" s="505">
        <v>10</v>
      </c>
      <c r="M178" s="505">
        <v>11</v>
      </c>
      <c r="N178" s="505">
        <v>12</v>
      </c>
      <c r="O178" s="505">
        <v>13</v>
      </c>
    </row>
    <row r="179" spans="1:15" ht="15" hidden="1">
      <c r="A179" s="506" t="s">
        <v>0</v>
      </c>
      <c r="B179" s="427" t="s">
        <v>130</v>
      </c>
      <c r="C179" s="806">
        <f aca="true" t="shared" si="57" ref="C179:C192">SUM(D179,E179,H179:O179)</f>
        <v>1271328</v>
      </c>
      <c r="D179" s="814">
        <f>SUM(D180:D181)</f>
        <v>758128</v>
      </c>
      <c r="E179" s="814">
        <f aca="true" t="shared" si="58" ref="E179:J179">SUM(E180:E181)</f>
        <v>427799</v>
      </c>
      <c r="F179" s="814">
        <f t="shared" si="58"/>
        <v>0</v>
      </c>
      <c r="G179" s="814">
        <f t="shared" si="58"/>
        <v>427799</v>
      </c>
      <c r="H179" s="814">
        <f t="shared" si="58"/>
        <v>0</v>
      </c>
      <c r="I179" s="814">
        <f t="shared" si="58"/>
        <v>85401</v>
      </c>
      <c r="J179" s="814">
        <f t="shared" si="58"/>
        <v>0</v>
      </c>
      <c r="K179" s="814">
        <f>SUM(K180:K181)</f>
        <v>0</v>
      </c>
      <c r="L179" s="814">
        <f>SUM(L180:L181)</f>
        <v>0</v>
      </c>
      <c r="M179" s="814">
        <f>SUM(M180:M181)</f>
        <v>0</v>
      </c>
      <c r="N179" s="814">
        <f>SUM(N180:N181)</f>
        <v>0</v>
      </c>
      <c r="O179" s="814">
        <f>SUM(O180:O181)</f>
        <v>0</v>
      </c>
    </row>
    <row r="180" spans="1:15" ht="15.75" hidden="1">
      <c r="A180" s="507">
        <v>1</v>
      </c>
      <c r="B180" s="429" t="s">
        <v>131</v>
      </c>
      <c r="C180" s="811">
        <f t="shared" si="57"/>
        <v>879213</v>
      </c>
      <c r="D180" s="911">
        <v>573128</v>
      </c>
      <c r="E180" s="816">
        <f aca="true" t="shared" si="59" ref="E180:E190">SUM(F180:G180)</f>
        <v>249084</v>
      </c>
      <c r="F180" s="912">
        <v>0</v>
      </c>
      <c r="G180" s="912">
        <v>249084</v>
      </c>
      <c r="H180" s="912"/>
      <c r="I180" s="912">
        <v>57001</v>
      </c>
      <c r="J180" s="912">
        <v>0</v>
      </c>
      <c r="K180" s="912"/>
      <c r="L180" s="912"/>
      <c r="M180" s="912"/>
      <c r="N180" s="912"/>
      <c r="O180" s="912">
        <v>0</v>
      </c>
    </row>
    <row r="181" spans="1:15" ht="15.75" hidden="1">
      <c r="A181" s="507">
        <v>2</v>
      </c>
      <c r="B181" s="429" t="s">
        <v>132</v>
      </c>
      <c r="C181" s="811">
        <f t="shared" si="57"/>
        <v>392115</v>
      </c>
      <c r="D181" s="818">
        <v>185000</v>
      </c>
      <c r="E181" s="816">
        <f t="shared" si="59"/>
        <v>178715</v>
      </c>
      <c r="F181" s="906"/>
      <c r="G181" s="906">
        <v>178715</v>
      </c>
      <c r="H181" s="906"/>
      <c r="I181" s="906">
        <v>28400</v>
      </c>
      <c r="J181" s="906"/>
      <c r="K181" s="906"/>
      <c r="L181" s="906"/>
      <c r="M181" s="906"/>
      <c r="N181" s="906"/>
      <c r="O181" s="906"/>
    </row>
    <row r="182" spans="1:15" ht="15.75" hidden="1">
      <c r="A182" s="508" t="s">
        <v>1</v>
      </c>
      <c r="B182" s="394" t="s">
        <v>133</v>
      </c>
      <c r="C182" s="811">
        <f t="shared" si="57"/>
        <v>215000</v>
      </c>
      <c r="D182" s="818">
        <v>185000</v>
      </c>
      <c r="E182" s="816">
        <f t="shared" si="59"/>
        <v>30000</v>
      </c>
      <c r="F182" s="906"/>
      <c r="G182" s="906">
        <v>30000</v>
      </c>
      <c r="H182" s="906"/>
      <c r="I182" s="906"/>
      <c r="J182" s="906"/>
      <c r="K182" s="906"/>
      <c r="L182" s="906"/>
      <c r="M182" s="906"/>
      <c r="N182" s="906"/>
      <c r="O182" s="906"/>
    </row>
    <row r="183" spans="1:15" ht="15.75" hidden="1">
      <c r="A183" s="508" t="s">
        <v>9</v>
      </c>
      <c r="B183" s="394" t="s">
        <v>134</v>
      </c>
      <c r="C183" s="811">
        <f t="shared" si="57"/>
        <v>0</v>
      </c>
      <c r="D183" s="818"/>
      <c r="E183" s="816">
        <f t="shared" si="59"/>
        <v>0</v>
      </c>
      <c r="F183" s="818"/>
      <c r="G183" s="818"/>
      <c r="H183" s="818"/>
      <c r="I183" s="818"/>
      <c r="J183" s="818"/>
      <c r="K183" s="818"/>
      <c r="L183" s="818"/>
      <c r="M183" s="818"/>
      <c r="N183" s="818"/>
      <c r="O183" s="818"/>
    </row>
    <row r="184" spans="1:15" ht="15" hidden="1">
      <c r="A184" s="508" t="s">
        <v>135</v>
      </c>
      <c r="B184" s="394" t="s">
        <v>136</v>
      </c>
      <c r="C184" s="806">
        <f t="shared" si="57"/>
        <v>1056328</v>
      </c>
      <c r="D184" s="807">
        <f>D179-SUM(D182,D183)</f>
        <v>573128</v>
      </c>
      <c r="E184" s="814">
        <f t="shared" si="59"/>
        <v>397799</v>
      </c>
      <c r="F184" s="807">
        <f aca="true" t="shared" si="60" ref="F184:O184">F179-SUM(F182,F183)</f>
        <v>0</v>
      </c>
      <c r="G184" s="807">
        <f t="shared" si="60"/>
        <v>397799</v>
      </c>
      <c r="H184" s="807">
        <f t="shared" si="60"/>
        <v>0</v>
      </c>
      <c r="I184" s="807">
        <f t="shared" si="60"/>
        <v>85401</v>
      </c>
      <c r="J184" s="807">
        <f t="shared" si="60"/>
        <v>0</v>
      </c>
      <c r="K184" s="807">
        <f t="shared" si="60"/>
        <v>0</v>
      </c>
      <c r="L184" s="807">
        <f t="shared" si="60"/>
        <v>0</v>
      </c>
      <c r="M184" s="807">
        <f t="shared" si="60"/>
        <v>0</v>
      </c>
      <c r="N184" s="807">
        <f t="shared" si="60"/>
        <v>0</v>
      </c>
      <c r="O184" s="807">
        <f t="shared" si="60"/>
        <v>0</v>
      </c>
    </row>
    <row r="185" spans="1:15" ht="15" hidden="1">
      <c r="A185" s="508" t="s">
        <v>51</v>
      </c>
      <c r="B185" s="430" t="s">
        <v>137</v>
      </c>
      <c r="C185" s="806">
        <f t="shared" si="57"/>
        <v>414972</v>
      </c>
      <c r="D185" s="815">
        <f>SUM(D186:D192)</f>
        <v>315629</v>
      </c>
      <c r="E185" s="814">
        <f t="shared" si="59"/>
        <v>70942</v>
      </c>
      <c r="F185" s="815">
        <f aca="true" t="shared" si="61" ref="F185:O185">SUM(F186:F192)</f>
        <v>0</v>
      </c>
      <c r="G185" s="815">
        <f t="shared" si="61"/>
        <v>70942</v>
      </c>
      <c r="H185" s="815">
        <f t="shared" si="61"/>
        <v>0</v>
      </c>
      <c r="I185" s="815">
        <f t="shared" si="61"/>
        <v>28401</v>
      </c>
      <c r="J185" s="815">
        <f t="shared" si="61"/>
        <v>0</v>
      </c>
      <c r="K185" s="815">
        <f t="shared" si="61"/>
        <v>0</v>
      </c>
      <c r="L185" s="815">
        <f t="shared" si="61"/>
        <v>0</v>
      </c>
      <c r="M185" s="815">
        <f t="shared" si="61"/>
        <v>0</v>
      </c>
      <c r="N185" s="815">
        <f t="shared" si="61"/>
        <v>0</v>
      </c>
      <c r="O185" s="815">
        <f t="shared" si="61"/>
        <v>0</v>
      </c>
    </row>
    <row r="186" spans="1:15" ht="15.75" hidden="1">
      <c r="A186" s="507" t="s">
        <v>53</v>
      </c>
      <c r="B186" s="429" t="s">
        <v>138</v>
      </c>
      <c r="C186" s="811">
        <f t="shared" si="57"/>
        <v>147791</v>
      </c>
      <c r="D186" s="817">
        <v>100100</v>
      </c>
      <c r="E186" s="816">
        <f t="shared" si="59"/>
        <v>19290</v>
      </c>
      <c r="F186" s="908"/>
      <c r="G186" s="908">
        <v>19290</v>
      </c>
      <c r="H186" s="908"/>
      <c r="I186" s="908">
        <v>28401</v>
      </c>
      <c r="J186" s="908"/>
      <c r="K186" s="908"/>
      <c r="L186" s="908"/>
      <c r="M186" s="908"/>
      <c r="N186" s="908"/>
      <c r="O186" s="908"/>
    </row>
    <row r="187" spans="1:15" ht="15.75" hidden="1">
      <c r="A187" s="507" t="s">
        <v>54</v>
      </c>
      <c r="B187" s="429" t="s">
        <v>139</v>
      </c>
      <c r="C187" s="811">
        <f t="shared" si="57"/>
        <v>19409</v>
      </c>
      <c r="D187" s="818">
        <v>0</v>
      </c>
      <c r="E187" s="816">
        <f t="shared" si="59"/>
        <v>19409</v>
      </c>
      <c r="F187" s="906"/>
      <c r="G187" s="906">
        <v>19409</v>
      </c>
      <c r="H187" s="906"/>
      <c r="I187" s="906"/>
      <c r="J187" s="906"/>
      <c r="K187" s="906"/>
      <c r="L187" s="906"/>
      <c r="M187" s="906"/>
      <c r="N187" s="906"/>
      <c r="O187" s="906"/>
    </row>
    <row r="188" spans="1:15" ht="15.75" hidden="1">
      <c r="A188" s="507" t="s">
        <v>140</v>
      </c>
      <c r="B188" s="429" t="s">
        <v>141</v>
      </c>
      <c r="C188" s="811">
        <f t="shared" si="57"/>
        <v>247772</v>
      </c>
      <c r="D188" s="818">
        <v>215529</v>
      </c>
      <c r="E188" s="816">
        <f t="shared" si="59"/>
        <v>32243</v>
      </c>
      <c r="F188" s="906"/>
      <c r="G188" s="906">
        <v>32243</v>
      </c>
      <c r="H188" s="906"/>
      <c r="I188" s="906">
        <v>0</v>
      </c>
      <c r="J188" s="906"/>
      <c r="K188" s="906"/>
      <c r="L188" s="906"/>
      <c r="M188" s="906"/>
      <c r="N188" s="906"/>
      <c r="O188" s="906"/>
    </row>
    <row r="189" spans="1:15" ht="15.75" hidden="1">
      <c r="A189" s="507" t="s">
        <v>142</v>
      </c>
      <c r="B189" s="429" t="s">
        <v>143</v>
      </c>
      <c r="C189" s="811">
        <f t="shared" si="57"/>
        <v>0</v>
      </c>
      <c r="D189" s="818"/>
      <c r="E189" s="816">
        <f t="shared" si="59"/>
        <v>0</v>
      </c>
      <c r="F189" s="906"/>
      <c r="G189" s="906"/>
      <c r="H189" s="906"/>
      <c r="I189" s="906"/>
      <c r="J189" s="906"/>
      <c r="K189" s="906"/>
      <c r="L189" s="906"/>
      <c r="M189" s="906"/>
      <c r="N189" s="906"/>
      <c r="O189" s="906"/>
    </row>
    <row r="190" spans="1:15" ht="15.75" hidden="1">
      <c r="A190" s="507" t="s">
        <v>144</v>
      </c>
      <c r="B190" s="429" t="s">
        <v>145</v>
      </c>
      <c r="C190" s="811">
        <f t="shared" si="57"/>
        <v>0</v>
      </c>
      <c r="D190" s="818"/>
      <c r="E190" s="816">
        <f t="shared" si="59"/>
        <v>0</v>
      </c>
      <c r="F190" s="906"/>
      <c r="G190" s="906"/>
      <c r="H190" s="906"/>
      <c r="I190" s="906"/>
      <c r="J190" s="906"/>
      <c r="K190" s="906"/>
      <c r="L190" s="906"/>
      <c r="M190" s="906"/>
      <c r="N190" s="906"/>
      <c r="O190" s="906"/>
    </row>
    <row r="191" spans="1:15" ht="25.5" hidden="1">
      <c r="A191" s="507" t="s">
        <v>146</v>
      </c>
      <c r="B191" s="431" t="s">
        <v>147</v>
      </c>
      <c r="C191" s="811">
        <f t="shared" si="57"/>
        <v>0</v>
      </c>
      <c r="D191" s="818"/>
      <c r="E191" s="816">
        <f>SUM(F191:G191)</f>
        <v>0</v>
      </c>
      <c r="F191" s="906"/>
      <c r="G191" s="906"/>
      <c r="H191" s="906"/>
      <c r="I191" s="906"/>
      <c r="J191" s="906"/>
      <c r="K191" s="906"/>
      <c r="L191" s="906"/>
      <c r="M191" s="906"/>
      <c r="N191" s="906"/>
      <c r="O191" s="906"/>
    </row>
    <row r="192" spans="1:15" ht="15.75" hidden="1">
      <c r="A192" s="507" t="s">
        <v>148</v>
      </c>
      <c r="B192" s="429" t="s">
        <v>149</v>
      </c>
      <c r="C192" s="811">
        <f t="shared" si="57"/>
        <v>0</v>
      </c>
      <c r="D192" s="818"/>
      <c r="E192" s="816">
        <f>SUM(F192:G192)</f>
        <v>0</v>
      </c>
      <c r="F192" s="906"/>
      <c r="G192" s="906"/>
      <c r="H192" s="906"/>
      <c r="I192" s="906"/>
      <c r="J192" s="906"/>
      <c r="K192" s="906"/>
      <c r="L192" s="906"/>
      <c r="M192" s="906"/>
      <c r="N192" s="906"/>
      <c r="O192" s="906"/>
    </row>
    <row r="193" spans="1:15" ht="15" hidden="1">
      <c r="A193" s="508" t="s">
        <v>52</v>
      </c>
      <c r="B193" s="394" t="s">
        <v>150</v>
      </c>
      <c r="C193" s="823">
        <f>C179-C182-C183-C185</f>
        <v>641356</v>
      </c>
      <c r="D193" s="823">
        <f>D184-D185</f>
        <v>257499</v>
      </c>
      <c r="E193" s="823">
        <f aca="true" t="shared" si="62" ref="E193:O193">E184-E185</f>
        <v>326857</v>
      </c>
      <c r="F193" s="823">
        <f t="shared" si="62"/>
        <v>0</v>
      </c>
      <c r="G193" s="823">
        <f t="shared" si="62"/>
        <v>326857</v>
      </c>
      <c r="H193" s="823">
        <f t="shared" si="62"/>
        <v>0</v>
      </c>
      <c r="I193" s="823">
        <f t="shared" si="62"/>
        <v>57000</v>
      </c>
      <c r="J193" s="823">
        <f t="shared" si="62"/>
        <v>0</v>
      </c>
      <c r="K193" s="823">
        <f t="shared" si="62"/>
        <v>0</v>
      </c>
      <c r="L193" s="823">
        <f t="shared" si="62"/>
        <v>0</v>
      </c>
      <c r="M193" s="823">
        <f t="shared" si="62"/>
        <v>0</v>
      </c>
      <c r="N193" s="823">
        <f t="shared" si="62"/>
        <v>0</v>
      </c>
      <c r="O193" s="823">
        <f t="shared" si="62"/>
        <v>0</v>
      </c>
    </row>
    <row r="194" spans="1:15" ht="25.5" hidden="1">
      <c r="A194" s="534" t="s">
        <v>540</v>
      </c>
      <c r="B194" s="470" t="s">
        <v>151</v>
      </c>
      <c r="C194" s="532">
        <f>(C186+C187)/C185</f>
        <v>0.40291875114465553</v>
      </c>
      <c r="D194" s="533">
        <f aca="true" t="shared" si="63" ref="D194:O194">(D186+D187)/D185</f>
        <v>0.3171444955945113</v>
      </c>
      <c r="E194" s="532">
        <f t="shared" si="63"/>
        <v>0.5455019593470722</v>
      </c>
      <c r="F194" s="533" t="e">
        <f t="shared" si="63"/>
        <v>#DIV/0!</v>
      </c>
      <c r="G194" s="533">
        <f t="shared" si="63"/>
        <v>0.5455019593470722</v>
      </c>
      <c r="H194" s="533" t="e">
        <f t="shared" si="63"/>
        <v>#DIV/0!</v>
      </c>
      <c r="I194" s="533">
        <f t="shared" si="63"/>
        <v>1</v>
      </c>
      <c r="J194" s="533" t="e">
        <f t="shared" si="63"/>
        <v>#DIV/0!</v>
      </c>
      <c r="K194" s="533" t="e">
        <f t="shared" si="63"/>
        <v>#DIV/0!</v>
      </c>
      <c r="L194" s="533" t="e">
        <f t="shared" si="63"/>
        <v>#DIV/0!</v>
      </c>
      <c r="M194" s="533" t="e">
        <f t="shared" si="63"/>
        <v>#DIV/0!</v>
      </c>
      <c r="N194" s="533" t="e">
        <f t="shared" si="63"/>
        <v>#DIV/0!</v>
      </c>
      <c r="O194" s="533" t="e">
        <f t="shared" si="63"/>
        <v>#DIV/0!</v>
      </c>
    </row>
    <row r="195" ht="15" hidden="1"/>
    <row r="196" ht="15" hidden="1">
      <c r="B196" s="904" t="s">
        <v>743</v>
      </c>
    </row>
    <row r="197" spans="1:15" ht="15" hidden="1">
      <c r="A197" s="1478" t="s">
        <v>68</v>
      </c>
      <c r="B197" s="1479"/>
      <c r="C197" s="1487" t="s">
        <v>37</v>
      </c>
      <c r="D197" s="1487" t="s">
        <v>335</v>
      </c>
      <c r="E197" s="1488"/>
      <c r="F197" s="1488"/>
      <c r="G197" s="1488"/>
      <c r="H197" s="1488"/>
      <c r="I197" s="1488"/>
      <c r="J197" s="1488"/>
      <c r="K197" s="1488"/>
      <c r="L197" s="1488"/>
      <c r="M197" s="1488"/>
      <c r="N197" s="1488"/>
      <c r="O197" s="1489"/>
    </row>
    <row r="198" spans="1:15" ht="15" hidden="1">
      <c r="A198" s="1480"/>
      <c r="B198" s="1481"/>
      <c r="C198" s="1501"/>
      <c r="D198" s="1491" t="s">
        <v>119</v>
      </c>
      <c r="E198" s="1498" t="s">
        <v>120</v>
      </c>
      <c r="F198" s="1499"/>
      <c r="G198" s="1500"/>
      <c r="H198" s="1474" t="s">
        <v>121</v>
      </c>
      <c r="I198" s="1474" t="s">
        <v>122</v>
      </c>
      <c r="J198" s="1474" t="s">
        <v>198</v>
      </c>
      <c r="K198" s="1474" t="s">
        <v>124</v>
      </c>
      <c r="L198" s="1474" t="s">
        <v>125</v>
      </c>
      <c r="M198" s="1474" t="s">
        <v>126</v>
      </c>
      <c r="N198" s="1474" t="s">
        <v>183</v>
      </c>
      <c r="O198" s="1474" t="s">
        <v>127</v>
      </c>
    </row>
    <row r="199" spans="1:15" ht="15" hidden="1">
      <c r="A199" s="1480"/>
      <c r="B199" s="1481"/>
      <c r="C199" s="1501"/>
      <c r="D199" s="1491"/>
      <c r="E199" s="1473" t="s">
        <v>36</v>
      </c>
      <c r="F199" s="1476" t="s">
        <v>7</v>
      </c>
      <c r="G199" s="1477"/>
      <c r="H199" s="1474"/>
      <c r="I199" s="1474"/>
      <c r="J199" s="1474"/>
      <c r="K199" s="1474"/>
      <c r="L199" s="1474"/>
      <c r="M199" s="1474"/>
      <c r="N199" s="1474"/>
      <c r="O199" s="1474"/>
    </row>
    <row r="200" spans="1:15" ht="15" hidden="1">
      <c r="A200" s="1482"/>
      <c r="B200" s="1483"/>
      <c r="C200" s="1501"/>
      <c r="D200" s="1492"/>
      <c r="E200" s="1475"/>
      <c r="F200" s="559" t="s">
        <v>199</v>
      </c>
      <c r="G200" s="560" t="s">
        <v>200</v>
      </c>
      <c r="H200" s="1475"/>
      <c r="I200" s="1475"/>
      <c r="J200" s="1475"/>
      <c r="K200" s="1475"/>
      <c r="L200" s="1475"/>
      <c r="M200" s="1475"/>
      <c r="N200" s="1475"/>
      <c r="O200" s="1475"/>
    </row>
    <row r="201" spans="1:15" ht="15" hidden="1">
      <c r="A201" s="1471" t="s">
        <v>39</v>
      </c>
      <c r="B201" s="1472"/>
      <c r="C201" s="505">
        <v>1</v>
      </c>
      <c r="D201" s="505">
        <v>2</v>
      </c>
      <c r="E201" s="505">
        <v>3</v>
      </c>
      <c r="F201" s="505">
        <v>4</v>
      </c>
      <c r="G201" s="505">
        <v>5</v>
      </c>
      <c r="H201" s="505">
        <v>6</v>
      </c>
      <c r="I201" s="505">
        <v>7</v>
      </c>
      <c r="J201" s="505">
        <v>8</v>
      </c>
      <c r="K201" s="505">
        <v>9</v>
      </c>
      <c r="L201" s="505">
        <v>10</v>
      </c>
      <c r="M201" s="505">
        <v>11</v>
      </c>
      <c r="N201" s="505">
        <v>12</v>
      </c>
      <c r="O201" s="505">
        <v>13</v>
      </c>
    </row>
    <row r="202" spans="1:15" ht="15" hidden="1">
      <c r="A202" s="506" t="s">
        <v>0</v>
      </c>
      <c r="B202" s="427" t="s">
        <v>130</v>
      </c>
      <c r="C202" s="806">
        <f aca="true" t="shared" si="64" ref="C202:C215">SUM(D202,E202,H202:O202)</f>
        <v>1808796</v>
      </c>
      <c r="D202" s="814">
        <f>SUM(D203:D204)</f>
        <v>1683163</v>
      </c>
      <c r="E202" s="814">
        <f aca="true" t="shared" si="65" ref="E202:J202">SUM(E203:E204)</f>
        <v>75833</v>
      </c>
      <c r="F202" s="814">
        <f t="shared" si="65"/>
        <v>0</v>
      </c>
      <c r="G202" s="814">
        <f t="shared" si="65"/>
        <v>75833</v>
      </c>
      <c r="H202" s="814">
        <f t="shared" si="65"/>
        <v>0</v>
      </c>
      <c r="I202" s="814">
        <f t="shared" si="65"/>
        <v>49800</v>
      </c>
      <c r="J202" s="814">
        <f t="shared" si="65"/>
        <v>0</v>
      </c>
      <c r="K202" s="814">
        <f>SUM(K203:K204)</f>
        <v>0</v>
      </c>
      <c r="L202" s="814">
        <f>SUM(L203:L204)</f>
        <v>0</v>
      </c>
      <c r="M202" s="814">
        <f>SUM(M203:M204)</f>
        <v>0</v>
      </c>
      <c r="N202" s="814">
        <f>SUM(N203:N204)</f>
        <v>0</v>
      </c>
      <c r="O202" s="814">
        <f>SUM(O203:O204)</f>
        <v>0</v>
      </c>
    </row>
    <row r="203" spans="1:15" ht="15.75" hidden="1">
      <c r="A203" s="507">
        <v>1</v>
      </c>
      <c r="B203" s="429" t="s">
        <v>131</v>
      </c>
      <c r="C203" s="811">
        <f t="shared" si="64"/>
        <v>415866</v>
      </c>
      <c r="D203" s="924">
        <v>327000</v>
      </c>
      <c r="E203" s="816">
        <f aca="true" t="shared" si="66" ref="E203:E213">SUM(F203:G203)</f>
        <v>60666</v>
      </c>
      <c r="F203" s="976">
        <v>0</v>
      </c>
      <c r="G203" s="924">
        <v>60666</v>
      </c>
      <c r="H203" s="924">
        <v>0</v>
      </c>
      <c r="I203" s="924">
        <v>28200</v>
      </c>
      <c r="J203" s="924"/>
      <c r="K203" s="924"/>
      <c r="L203" s="924"/>
      <c r="M203" s="924"/>
      <c r="N203" s="968"/>
      <c r="O203" s="968"/>
    </row>
    <row r="204" spans="1:15" ht="15.75" hidden="1">
      <c r="A204" s="507">
        <v>2</v>
      </c>
      <c r="B204" s="429" t="s">
        <v>132</v>
      </c>
      <c r="C204" s="811">
        <f t="shared" si="64"/>
        <v>1392930</v>
      </c>
      <c r="D204" s="921">
        <v>1356163</v>
      </c>
      <c r="E204" s="816">
        <f t="shared" si="66"/>
        <v>15167</v>
      </c>
      <c r="F204" s="920"/>
      <c r="G204" s="920">
        <v>15167</v>
      </c>
      <c r="H204" s="920"/>
      <c r="I204" s="920">
        <v>21600</v>
      </c>
      <c r="J204" s="920"/>
      <c r="K204" s="920"/>
      <c r="L204" s="920"/>
      <c r="M204" s="920"/>
      <c r="N204" s="920"/>
      <c r="O204" s="920"/>
    </row>
    <row r="205" spans="1:15" ht="15.75" hidden="1">
      <c r="A205" s="508" t="s">
        <v>1</v>
      </c>
      <c r="B205" s="394" t="s">
        <v>133</v>
      </c>
      <c r="C205" s="811">
        <f t="shared" si="64"/>
        <v>0</v>
      </c>
      <c r="D205" s="818"/>
      <c r="E205" s="816">
        <f t="shared" si="66"/>
        <v>0</v>
      </c>
      <c r="F205" s="920"/>
      <c r="G205" s="920"/>
      <c r="H205" s="920"/>
      <c r="I205" s="920"/>
      <c r="J205" s="920"/>
      <c r="K205" s="920"/>
      <c r="L205" s="920"/>
      <c r="M205" s="920"/>
      <c r="N205" s="920"/>
      <c r="O205" s="920"/>
    </row>
    <row r="206" spans="1:15" ht="15.75" hidden="1">
      <c r="A206" s="508" t="s">
        <v>9</v>
      </c>
      <c r="B206" s="394" t="s">
        <v>134</v>
      </c>
      <c r="C206" s="811">
        <f t="shared" si="64"/>
        <v>0</v>
      </c>
      <c r="D206" s="818"/>
      <c r="E206" s="816">
        <f t="shared" si="66"/>
        <v>0</v>
      </c>
      <c r="F206" s="818"/>
      <c r="G206" s="818"/>
      <c r="H206" s="818"/>
      <c r="I206" s="818"/>
      <c r="J206" s="818"/>
      <c r="K206" s="818"/>
      <c r="L206" s="818"/>
      <c r="M206" s="818"/>
      <c r="N206" s="818"/>
      <c r="O206" s="818"/>
    </row>
    <row r="207" spans="1:15" ht="15" hidden="1">
      <c r="A207" s="508" t="s">
        <v>135</v>
      </c>
      <c r="B207" s="394" t="s">
        <v>136</v>
      </c>
      <c r="C207" s="806">
        <f t="shared" si="64"/>
        <v>1808796</v>
      </c>
      <c r="D207" s="807">
        <f>D202-SUM(D205,D206)</f>
        <v>1683163</v>
      </c>
      <c r="E207" s="814">
        <f t="shared" si="66"/>
        <v>75833</v>
      </c>
      <c r="F207" s="807">
        <f aca="true" t="shared" si="67" ref="F207:O207">F202-SUM(F205,F206)</f>
        <v>0</v>
      </c>
      <c r="G207" s="807">
        <f t="shared" si="67"/>
        <v>75833</v>
      </c>
      <c r="H207" s="807">
        <f t="shared" si="67"/>
        <v>0</v>
      </c>
      <c r="I207" s="807">
        <f t="shared" si="67"/>
        <v>49800</v>
      </c>
      <c r="J207" s="807">
        <f t="shared" si="67"/>
        <v>0</v>
      </c>
      <c r="K207" s="807">
        <f t="shared" si="67"/>
        <v>0</v>
      </c>
      <c r="L207" s="807">
        <f t="shared" si="67"/>
        <v>0</v>
      </c>
      <c r="M207" s="807">
        <f t="shared" si="67"/>
        <v>0</v>
      </c>
      <c r="N207" s="807">
        <f t="shared" si="67"/>
        <v>0</v>
      </c>
      <c r="O207" s="807">
        <f t="shared" si="67"/>
        <v>0</v>
      </c>
    </row>
    <row r="208" spans="1:15" ht="15" hidden="1">
      <c r="A208" s="508" t="s">
        <v>51</v>
      </c>
      <c r="B208" s="430" t="s">
        <v>137</v>
      </c>
      <c r="C208" s="806">
        <f t="shared" si="64"/>
        <v>1340113</v>
      </c>
      <c r="D208" s="815">
        <f>SUM(D209:D215)</f>
        <v>1308263</v>
      </c>
      <c r="E208" s="814">
        <f t="shared" si="66"/>
        <v>10250</v>
      </c>
      <c r="F208" s="815">
        <f aca="true" t="shared" si="68" ref="F208:O208">SUM(F209:F215)</f>
        <v>0</v>
      </c>
      <c r="G208" s="815">
        <f t="shared" si="68"/>
        <v>10250</v>
      </c>
      <c r="H208" s="815">
        <f t="shared" si="68"/>
        <v>0</v>
      </c>
      <c r="I208" s="815">
        <f t="shared" si="68"/>
        <v>21600</v>
      </c>
      <c r="J208" s="815">
        <f t="shared" si="68"/>
        <v>0</v>
      </c>
      <c r="K208" s="815">
        <f t="shared" si="68"/>
        <v>0</v>
      </c>
      <c r="L208" s="815">
        <f t="shared" si="68"/>
        <v>0</v>
      </c>
      <c r="M208" s="815">
        <f t="shared" si="68"/>
        <v>0</v>
      </c>
      <c r="N208" s="815">
        <f t="shared" si="68"/>
        <v>0</v>
      </c>
      <c r="O208" s="815">
        <f t="shared" si="68"/>
        <v>0</v>
      </c>
    </row>
    <row r="209" spans="1:15" ht="15.75" hidden="1">
      <c r="A209" s="507" t="s">
        <v>53</v>
      </c>
      <c r="B209" s="429" t="s">
        <v>138</v>
      </c>
      <c r="C209" s="811">
        <f t="shared" si="64"/>
        <v>158289</v>
      </c>
      <c r="D209" s="977">
        <v>146689</v>
      </c>
      <c r="E209" s="816">
        <f t="shared" si="66"/>
        <v>4800</v>
      </c>
      <c r="F209" s="971"/>
      <c r="G209" s="971">
        <v>4800</v>
      </c>
      <c r="H209" s="971"/>
      <c r="I209" s="970">
        <v>6800</v>
      </c>
      <c r="J209" s="971"/>
      <c r="K209" s="971"/>
      <c r="L209" s="971"/>
      <c r="M209" s="971"/>
      <c r="N209" s="920"/>
      <c r="O209" s="920"/>
    </row>
    <row r="210" spans="1:15" ht="15.75" hidden="1">
      <c r="A210" s="507" t="s">
        <v>54</v>
      </c>
      <c r="B210" s="429" t="s">
        <v>139</v>
      </c>
      <c r="C210" s="811">
        <f t="shared" si="64"/>
        <v>21083</v>
      </c>
      <c r="D210" s="971">
        <v>20000</v>
      </c>
      <c r="E210" s="816">
        <f t="shared" si="66"/>
        <v>1083</v>
      </c>
      <c r="F210" s="971"/>
      <c r="G210" s="971">
        <v>1083</v>
      </c>
      <c r="H210" s="971"/>
      <c r="I210" s="970"/>
      <c r="J210" s="971"/>
      <c r="K210" s="971"/>
      <c r="L210" s="971"/>
      <c r="M210" s="971"/>
      <c r="N210" s="920"/>
      <c r="O210" s="920"/>
    </row>
    <row r="211" spans="1:15" ht="15.75" hidden="1">
      <c r="A211" s="507" t="s">
        <v>140</v>
      </c>
      <c r="B211" s="429" t="s">
        <v>141</v>
      </c>
      <c r="C211" s="811">
        <f t="shared" si="64"/>
        <v>1160741</v>
      </c>
      <c r="D211" s="971">
        <v>1141574</v>
      </c>
      <c r="E211" s="816">
        <f t="shared" si="66"/>
        <v>4367</v>
      </c>
      <c r="F211" s="971"/>
      <c r="G211" s="971">
        <v>4367</v>
      </c>
      <c r="H211" s="971"/>
      <c r="I211" s="970">
        <v>14800</v>
      </c>
      <c r="J211" s="971"/>
      <c r="K211" s="971"/>
      <c r="L211" s="971"/>
      <c r="M211" s="971"/>
      <c r="N211" s="920"/>
      <c r="O211" s="920"/>
    </row>
    <row r="212" spans="1:15" ht="15.75" hidden="1">
      <c r="A212" s="507" t="s">
        <v>142</v>
      </c>
      <c r="B212" s="429" t="s">
        <v>143</v>
      </c>
      <c r="C212" s="811">
        <f t="shared" si="64"/>
        <v>0</v>
      </c>
      <c r="D212" s="1042"/>
      <c r="E212" s="816">
        <f t="shared" si="66"/>
        <v>0</v>
      </c>
      <c r="F212" s="920"/>
      <c r="G212" s="920"/>
      <c r="H212" s="920"/>
      <c r="I212" s="920"/>
      <c r="J212" s="920"/>
      <c r="K212" s="920"/>
      <c r="L212" s="920"/>
      <c r="M212" s="920"/>
      <c r="N212" s="920"/>
      <c r="O212" s="920"/>
    </row>
    <row r="213" spans="1:15" ht="15.75" hidden="1">
      <c r="A213" s="507" t="s">
        <v>144</v>
      </c>
      <c r="B213" s="429" t="s">
        <v>145</v>
      </c>
      <c r="C213" s="811">
        <f t="shared" si="64"/>
        <v>0</v>
      </c>
      <c r="D213" s="1041"/>
      <c r="E213" s="816">
        <f t="shared" si="66"/>
        <v>0</v>
      </c>
      <c r="F213" s="971"/>
      <c r="G213" s="971"/>
      <c r="H213" s="971"/>
      <c r="I213" s="971"/>
      <c r="J213" s="971"/>
      <c r="K213" s="971"/>
      <c r="L213" s="971"/>
      <c r="M213" s="971"/>
      <c r="N213" s="920"/>
      <c r="O213" s="920"/>
    </row>
    <row r="214" spans="1:15" ht="25.5" hidden="1">
      <c r="A214" s="507" t="s">
        <v>146</v>
      </c>
      <c r="B214" s="431" t="s">
        <v>147</v>
      </c>
      <c r="C214" s="811">
        <f t="shared" si="64"/>
        <v>0</v>
      </c>
      <c r="D214" s="1041"/>
      <c r="E214" s="816">
        <f>SUM(F214:G214)</f>
        <v>0</v>
      </c>
      <c r="F214" s="971"/>
      <c r="G214" s="971"/>
      <c r="H214" s="971"/>
      <c r="I214" s="971"/>
      <c r="J214" s="971"/>
      <c r="K214" s="971"/>
      <c r="L214" s="971"/>
      <c r="M214" s="971"/>
      <c r="N214" s="920"/>
      <c r="O214" s="920"/>
    </row>
    <row r="215" spans="1:15" ht="15.75" hidden="1">
      <c r="A215" s="507" t="s">
        <v>148</v>
      </c>
      <c r="B215" s="429" t="s">
        <v>149</v>
      </c>
      <c r="C215" s="811">
        <f t="shared" si="64"/>
        <v>0</v>
      </c>
      <c r="D215" s="920"/>
      <c r="E215" s="816">
        <f>SUM(F215:G215)</f>
        <v>0</v>
      </c>
      <c r="F215" s="920"/>
      <c r="G215" s="920"/>
      <c r="H215" s="920"/>
      <c r="I215" s="920"/>
      <c r="J215" s="920"/>
      <c r="K215" s="920"/>
      <c r="L215" s="920"/>
      <c r="M215" s="920"/>
      <c r="N215" s="920"/>
      <c r="O215" s="920"/>
    </row>
    <row r="216" spans="1:15" ht="15" hidden="1">
      <c r="A216" s="508" t="s">
        <v>52</v>
      </c>
      <c r="B216" s="394" t="s">
        <v>150</v>
      </c>
      <c r="C216" s="823">
        <f>C202-C205-C206-C208</f>
        <v>468683</v>
      </c>
      <c r="D216" s="823">
        <f>D207-D208</f>
        <v>374900</v>
      </c>
      <c r="E216" s="823">
        <f aca="true" t="shared" si="69" ref="E216:O216">E207-E208</f>
        <v>65583</v>
      </c>
      <c r="F216" s="823">
        <f t="shared" si="69"/>
        <v>0</v>
      </c>
      <c r="G216" s="823">
        <f t="shared" si="69"/>
        <v>65583</v>
      </c>
      <c r="H216" s="823">
        <f t="shared" si="69"/>
        <v>0</v>
      </c>
      <c r="I216" s="823">
        <f t="shared" si="69"/>
        <v>28200</v>
      </c>
      <c r="J216" s="823">
        <f t="shared" si="69"/>
        <v>0</v>
      </c>
      <c r="K216" s="823">
        <f t="shared" si="69"/>
        <v>0</v>
      </c>
      <c r="L216" s="823">
        <f t="shared" si="69"/>
        <v>0</v>
      </c>
      <c r="M216" s="823">
        <f t="shared" si="69"/>
        <v>0</v>
      </c>
      <c r="N216" s="823">
        <f t="shared" si="69"/>
        <v>0</v>
      </c>
      <c r="O216" s="823">
        <f t="shared" si="69"/>
        <v>0</v>
      </c>
    </row>
    <row r="217" spans="1:15" ht="25.5" hidden="1">
      <c r="A217" s="534" t="s">
        <v>540</v>
      </c>
      <c r="B217" s="470" t="s">
        <v>151</v>
      </c>
      <c r="C217" s="532">
        <f>(C209+C210)/C208</f>
        <v>0.13384841427551258</v>
      </c>
      <c r="D217" s="533">
        <f aca="true" t="shared" si="70" ref="D217:O217">(D209+D210)/D208</f>
        <v>0.12741245452940272</v>
      </c>
      <c r="E217" s="532">
        <f t="shared" si="70"/>
        <v>0.5739512195121951</v>
      </c>
      <c r="F217" s="533" t="e">
        <f t="shared" si="70"/>
        <v>#DIV/0!</v>
      </c>
      <c r="G217" s="533">
        <f t="shared" si="70"/>
        <v>0.5739512195121951</v>
      </c>
      <c r="H217" s="533" t="e">
        <f t="shared" si="70"/>
        <v>#DIV/0!</v>
      </c>
      <c r="I217" s="533">
        <f t="shared" si="70"/>
        <v>0.3148148148148148</v>
      </c>
      <c r="J217" s="533" t="e">
        <f t="shared" si="70"/>
        <v>#DIV/0!</v>
      </c>
      <c r="K217" s="533" t="e">
        <f t="shared" si="70"/>
        <v>#DIV/0!</v>
      </c>
      <c r="L217" s="533" t="e">
        <f t="shared" si="70"/>
        <v>#DIV/0!</v>
      </c>
      <c r="M217" s="533" t="e">
        <f t="shared" si="70"/>
        <v>#DIV/0!</v>
      </c>
      <c r="N217" s="533" t="e">
        <f t="shared" si="70"/>
        <v>#DIV/0!</v>
      </c>
      <c r="O217" s="533" t="e">
        <f t="shared" si="70"/>
        <v>#DIV/0!</v>
      </c>
    </row>
    <row r="218" ht="15"/>
  </sheetData>
  <sheetProtection/>
  <mergeCells count="155">
    <mergeCell ref="O198:O200"/>
    <mergeCell ref="E199:E200"/>
    <mergeCell ref="F199:G199"/>
    <mergeCell ref="A201:B201"/>
    <mergeCell ref="A197:B200"/>
    <mergeCell ref="C197:C200"/>
    <mergeCell ref="D197:O197"/>
    <mergeCell ref="D198:D200"/>
    <mergeCell ref="K198:K200"/>
    <mergeCell ref="L198:L200"/>
    <mergeCell ref="M198:M200"/>
    <mergeCell ref="N198:N200"/>
    <mergeCell ref="E198:G198"/>
    <mergeCell ref="H198:H200"/>
    <mergeCell ref="I198:I200"/>
    <mergeCell ref="J198:J200"/>
    <mergeCell ref="O175:O177"/>
    <mergeCell ref="E176:E177"/>
    <mergeCell ref="F176:G176"/>
    <mergeCell ref="A178:B178"/>
    <mergeCell ref="A174:B177"/>
    <mergeCell ref="C174:C177"/>
    <mergeCell ref="D174:O174"/>
    <mergeCell ref="D175:D177"/>
    <mergeCell ref="K175:K177"/>
    <mergeCell ref="L175:L177"/>
    <mergeCell ref="M175:M177"/>
    <mergeCell ref="N175:N177"/>
    <mergeCell ref="E175:G175"/>
    <mergeCell ref="H175:H177"/>
    <mergeCell ref="I175:I177"/>
    <mergeCell ref="J175:J177"/>
    <mergeCell ref="O152:O154"/>
    <mergeCell ref="E153:E154"/>
    <mergeCell ref="F153:G153"/>
    <mergeCell ref="A155:B155"/>
    <mergeCell ref="A151:B154"/>
    <mergeCell ref="C151:C154"/>
    <mergeCell ref="D151:O151"/>
    <mergeCell ref="D152:D154"/>
    <mergeCell ref="K152:K154"/>
    <mergeCell ref="L152:L154"/>
    <mergeCell ref="M152:M154"/>
    <mergeCell ref="N152:N154"/>
    <mergeCell ref="E152:G152"/>
    <mergeCell ref="H152:H154"/>
    <mergeCell ref="I152:I154"/>
    <mergeCell ref="J152:J154"/>
    <mergeCell ref="O129:O131"/>
    <mergeCell ref="E130:E131"/>
    <mergeCell ref="F130:G130"/>
    <mergeCell ref="A132:B132"/>
    <mergeCell ref="A128:B131"/>
    <mergeCell ref="C128:C131"/>
    <mergeCell ref="D128:O128"/>
    <mergeCell ref="D129:D131"/>
    <mergeCell ref="K129:K131"/>
    <mergeCell ref="L129:L131"/>
    <mergeCell ref="M129:M131"/>
    <mergeCell ref="N129:N131"/>
    <mergeCell ref="E129:G129"/>
    <mergeCell ref="H129:H131"/>
    <mergeCell ref="I129:I131"/>
    <mergeCell ref="J129:J131"/>
    <mergeCell ref="O105:O107"/>
    <mergeCell ref="E106:E107"/>
    <mergeCell ref="F106:G106"/>
    <mergeCell ref="A108:B108"/>
    <mergeCell ref="A104:B107"/>
    <mergeCell ref="C104:C107"/>
    <mergeCell ref="D104:O104"/>
    <mergeCell ref="D105:D107"/>
    <mergeCell ref="K105:K107"/>
    <mergeCell ref="L105:L107"/>
    <mergeCell ref="M105:M107"/>
    <mergeCell ref="N105:N107"/>
    <mergeCell ref="E105:G105"/>
    <mergeCell ref="H105:H107"/>
    <mergeCell ref="I105:I107"/>
    <mergeCell ref="J105:J107"/>
    <mergeCell ref="O81:O83"/>
    <mergeCell ref="E82:E83"/>
    <mergeCell ref="F82:G82"/>
    <mergeCell ref="A84:B84"/>
    <mergeCell ref="A80:B83"/>
    <mergeCell ref="C80:C83"/>
    <mergeCell ref="D80:O80"/>
    <mergeCell ref="D81:D83"/>
    <mergeCell ref="K81:K83"/>
    <mergeCell ref="L81:L83"/>
    <mergeCell ref="M81:M83"/>
    <mergeCell ref="N81:N83"/>
    <mergeCell ref="E81:G81"/>
    <mergeCell ref="H81:H83"/>
    <mergeCell ref="I81:I83"/>
    <mergeCell ref="J81:J83"/>
    <mergeCell ref="O58:O60"/>
    <mergeCell ref="E59:E60"/>
    <mergeCell ref="F59:G59"/>
    <mergeCell ref="A61:B61"/>
    <mergeCell ref="A57:B60"/>
    <mergeCell ref="C57:C60"/>
    <mergeCell ref="D57:O57"/>
    <mergeCell ref="D58:D60"/>
    <mergeCell ref="K58:K60"/>
    <mergeCell ref="L58:L60"/>
    <mergeCell ref="M58:M60"/>
    <mergeCell ref="N58:N60"/>
    <mergeCell ref="E58:G58"/>
    <mergeCell ref="H58:H60"/>
    <mergeCell ref="I58:I60"/>
    <mergeCell ref="J58:J60"/>
    <mergeCell ref="O34:O36"/>
    <mergeCell ref="E35:E36"/>
    <mergeCell ref="F35:G35"/>
    <mergeCell ref="A37:B37"/>
    <mergeCell ref="A33:B36"/>
    <mergeCell ref="C33:C36"/>
    <mergeCell ref="D33:O33"/>
    <mergeCell ref="D34:D36"/>
    <mergeCell ref="K34:K36"/>
    <mergeCell ref="L34:L36"/>
    <mergeCell ref="M34:M36"/>
    <mergeCell ref="N34:N36"/>
    <mergeCell ref="E34:G34"/>
    <mergeCell ref="H34:H36"/>
    <mergeCell ref="I34:I36"/>
    <mergeCell ref="J34:J36"/>
    <mergeCell ref="O7:O9"/>
    <mergeCell ref="D1:K1"/>
    <mergeCell ref="A6:B9"/>
    <mergeCell ref="N7:N9"/>
    <mergeCell ref="H7:H9"/>
    <mergeCell ref="A1:B1"/>
    <mergeCell ref="L1:O1"/>
    <mergeCell ref="L2:O2"/>
    <mergeCell ref="L3:O3"/>
    <mergeCell ref="L4:O4"/>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221" t="s">
        <v>35</v>
      </c>
      <c r="B1" s="1221"/>
      <c r="C1" s="1221"/>
      <c r="D1" s="1221"/>
      <c r="E1" s="1220" t="s">
        <v>480</v>
      </c>
      <c r="F1" s="1220"/>
      <c r="G1" s="1220"/>
      <c r="H1" s="1220"/>
      <c r="I1" s="1220"/>
      <c r="J1" s="1220"/>
      <c r="K1" s="1220"/>
      <c r="L1" s="40" t="s">
        <v>456</v>
      </c>
      <c r="M1" s="40"/>
      <c r="N1" s="40"/>
      <c r="O1" s="41"/>
      <c r="P1" s="41"/>
    </row>
    <row r="2" spans="1:16" ht="15.75" customHeight="1">
      <c r="A2" s="1223" t="s">
        <v>342</v>
      </c>
      <c r="B2" s="1223"/>
      <c r="C2" s="1223"/>
      <c r="D2" s="1223"/>
      <c r="E2" s="1220"/>
      <c r="F2" s="1220"/>
      <c r="G2" s="1220"/>
      <c r="H2" s="1220"/>
      <c r="I2" s="1220"/>
      <c r="J2" s="1220"/>
      <c r="K2" s="1220"/>
      <c r="L2" s="1224" t="s">
        <v>359</v>
      </c>
      <c r="M2" s="1224"/>
      <c r="N2" s="1224"/>
      <c r="O2" s="44"/>
      <c r="P2" s="41"/>
    </row>
    <row r="3" spans="1:16" ht="18" customHeight="1">
      <c r="A3" s="1223" t="s">
        <v>343</v>
      </c>
      <c r="B3" s="1223"/>
      <c r="C3" s="1223"/>
      <c r="D3" s="1223"/>
      <c r="E3" s="1222" t="s">
        <v>476</v>
      </c>
      <c r="F3" s="1222"/>
      <c r="G3" s="1222"/>
      <c r="H3" s="1222"/>
      <c r="I3" s="1222"/>
      <c r="J3" s="1222"/>
      <c r="K3" s="45"/>
      <c r="L3" s="1235" t="s">
        <v>475</v>
      </c>
      <c r="M3" s="1235"/>
      <c r="N3" s="1235"/>
      <c r="O3" s="41"/>
      <c r="P3" s="41"/>
    </row>
    <row r="4" spans="1:16" ht="21" customHeight="1">
      <c r="A4" s="1219" t="s">
        <v>362</v>
      </c>
      <c r="B4" s="1219"/>
      <c r="C4" s="1219"/>
      <c r="D4" s="1219"/>
      <c r="E4" s="48"/>
      <c r="F4" s="49"/>
      <c r="G4" s="50"/>
      <c r="H4" s="50"/>
      <c r="I4" s="50"/>
      <c r="J4" s="50"/>
      <c r="K4" s="41"/>
      <c r="L4" s="1224" t="s">
        <v>354</v>
      </c>
      <c r="M4" s="1224"/>
      <c r="N4" s="1224"/>
      <c r="O4" s="44"/>
      <c r="P4" s="41"/>
    </row>
    <row r="5" spans="1:16" ht="18" customHeight="1">
      <c r="A5" s="50"/>
      <c r="B5" s="41"/>
      <c r="C5" s="51"/>
      <c r="D5" s="1217"/>
      <c r="E5" s="1217"/>
      <c r="F5" s="1217"/>
      <c r="G5" s="1217"/>
      <c r="H5" s="1217"/>
      <c r="I5" s="1217"/>
      <c r="J5" s="1217"/>
      <c r="K5" s="1217"/>
      <c r="L5" s="52" t="s">
        <v>363</v>
      </c>
      <c r="M5" s="52"/>
      <c r="N5" s="52"/>
      <c r="O5" s="41"/>
      <c r="P5" s="41"/>
    </row>
    <row r="6" spans="1:18" ht="33" customHeight="1">
      <c r="A6" s="1210" t="s">
        <v>71</v>
      </c>
      <c r="B6" s="1211"/>
      <c r="C6" s="1218" t="s">
        <v>364</v>
      </c>
      <c r="D6" s="1218"/>
      <c r="E6" s="1218"/>
      <c r="F6" s="1218"/>
      <c r="G6" s="1214" t="s">
        <v>7</v>
      </c>
      <c r="H6" s="1215"/>
      <c r="I6" s="1215"/>
      <c r="J6" s="1215"/>
      <c r="K6" s="1215"/>
      <c r="L6" s="1215"/>
      <c r="M6" s="1215"/>
      <c r="N6" s="1216"/>
      <c r="O6" s="1225" t="s">
        <v>365</v>
      </c>
      <c r="P6" s="1226"/>
      <c r="Q6" s="1226"/>
      <c r="R6" s="1227"/>
    </row>
    <row r="7" spans="1:18" ht="29.25" customHeight="1">
      <c r="A7" s="1212"/>
      <c r="B7" s="1213"/>
      <c r="C7" s="1218"/>
      <c r="D7" s="1218"/>
      <c r="E7" s="1218"/>
      <c r="F7" s="1218"/>
      <c r="G7" s="1214" t="s">
        <v>366</v>
      </c>
      <c r="H7" s="1215"/>
      <c r="I7" s="1215"/>
      <c r="J7" s="1216"/>
      <c r="K7" s="1214" t="s">
        <v>109</v>
      </c>
      <c r="L7" s="1215"/>
      <c r="M7" s="1215"/>
      <c r="N7" s="1216"/>
      <c r="O7" s="54" t="s">
        <v>367</v>
      </c>
      <c r="P7" s="54" t="s">
        <v>368</v>
      </c>
      <c r="Q7" s="1228" t="s">
        <v>369</v>
      </c>
      <c r="R7" s="1228" t="s">
        <v>370</v>
      </c>
    </row>
    <row r="8" spans="1:18" ht="26.25" customHeight="1">
      <c r="A8" s="1212"/>
      <c r="B8" s="1213"/>
      <c r="C8" s="1197" t="s">
        <v>106</v>
      </c>
      <c r="D8" s="1198"/>
      <c r="E8" s="1197" t="s">
        <v>105</v>
      </c>
      <c r="F8" s="1198"/>
      <c r="G8" s="1197" t="s">
        <v>107</v>
      </c>
      <c r="H8" s="1199"/>
      <c r="I8" s="1197" t="s">
        <v>108</v>
      </c>
      <c r="J8" s="1199"/>
      <c r="K8" s="1197" t="s">
        <v>110</v>
      </c>
      <c r="L8" s="1199"/>
      <c r="M8" s="1197" t="s">
        <v>111</v>
      </c>
      <c r="N8" s="1199"/>
      <c r="O8" s="1230" t="s">
        <v>371</v>
      </c>
      <c r="P8" s="1231" t="s">
        <v>372</v>
      </c>
      <c r="Q8" s="1228"/>
      <c r="R8" s="1228"/>
    </row>
    <row r="9" spans="1:18" ht="30.75" customHeight="1">
      <c r="A9" s="1212"/>
      <c r="B9" s="1213"/>
      <c r="C9" s="55" t="s">
        <v>3</v>
      </c>
      <c r="D9" s="53" t="s">
        <v>10</v>
      </c>
      <c r="E9" s="53" t="s">
        <v>3</v>
      </c>
      <c r="F9" s="53" t="s">
        <v>10</v>
      </c>
      <c r="G9" s="56" t="s">
        <v>3</v>
      </c>
      <c r="H9" s="56" t="s">
        <v>10</v>
      </c>
      <c r="I9" s="56" t="s">
        <v>3</v>
      </c>
      <c r="J9" s="56" t="s">
        <v>10</v>
      </c>
      <c r="K9" s="56" t="s">
        <v>3</v>
      </c>
      <c r="L9" s="56" t="s">
        <v>10</v>
      </c>
      <c r="M9" s="56" t="s">
        <v>3</v>
      </c>
      <c r="N9" s="56" t="s">
        <v>10</v>
      </c>
      <c r="O9" s="1230"/>
      <c r="P9" s="1232"/>
      <c r="Q9" s="1229"/>
      <c r="R9" s="1229"/>
    </row>
    <row r="10" spans="1:18" s="61" customFormat="1" ht="18" customHeight="1">
      <c r="A10" s="1209" t="s">
        <v>6</v>
      </c>
      <c r="B10" s="1209"/>
      <c r="C10" s="57">
        <v>1</v>
      </c>
      <c r="D10" s="57">
        <v>2</v>
      </c>
      <c r="E10" s="57">
        <v>3</v>
      </c>
      <c r="F10" s="57">
        <v>4</v>
      </c>
      <c r="G10" s="57">
        <v>5</v>
      </c>
      <c r="H10" s="57">
        <v>6</v>
      </c>
      <c r="I10" s="57">
        <v>7</v>
      </c>
      <c r="J10" s="57">
        <v>8</v>
      </c>
      <c r="K10" s="57">
        <v>9</v>
      </c>
      <c r="L10" s="57">
        <v>10</v>
      </c>
      <c r="M10" s="57">
        <v>11</v>
      </c>
      <c r="N10" s="57">
        <v>12</v>
      </c>
      <c r="O10" s="58" t="s">
        <v>103</v>
      </c>
      <c r="P10" s="58" t="s">
        <v>104</v>
      </c>
      <c r="Q10" s="59"/>
      <c r="R10" s="60"/>
    </row>
    <row r="11" spans="1:18" s="61" customFormat="1" ht="18" customHeight="1" hidden="1">
      <c r="A11" s="1205" t="s">
        <v>373</v>
      </c>
      <c r="B11" s="120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207" t="s">
        <v>477</v>
      </c>
      <c r="B12" s="1208"/>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202" t="s">
        <v>37</v>
      </c>
      <c r="B13" s="1203"/>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97</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18</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51</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52</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57</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72</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73</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74</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75</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76</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77</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100</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101</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04" t="s">
        <v>478</v>
      </c>
      <c r="C28" s="1204"/>
      <c r="D28" s="1204"/>
      <c r="E28" s="1204"/>
      <c r="F28" s="84"/>
      <c r="G28" s="85"/>
      <c r="H28" s="85"/>
      <c r="I28" s="85"/>
      <c r="J28" s="1204" t="s">
        <v>479</v>
      </c>
      <c r="K28" s="1204"/>
      <c r="L28" s="1204"/>
      <c r="M28" s="1204"/>
      <c r="N28" s="1204"/>
      <c r="O28" s="86"/>
      <c r="P28" s="86"/>
      <c r="AG28" s="87" t="s">
        <v>394</v>
      </c>
      <c r="AI28" s="88">
        <f>82/88</f>
        <v>0.9318181818181818</v>
      </c>
    </row>
    <row r="29" spans="1:16" s="94" customFormat="1" ht="19.5" customHeight="1">
      <c r="A29" s="89"/>
      <c r="B29" s="1196" t="s">
        <v>42</v>
      </c>
      <c r="C29" s="1196"/>
      <c r="D29" s="1196"/>
      <c r="E29" s="1196"/>
      <c r="F29" s="91"/>
      <c r="G29" s="92"/>
      <c r="H29" s="92"/>
      <c r="I29" s="92"/>
      <c r="J29" s="1196" t="s">
        <v>395</v>
      </c>
      <c r="K29" s="1196"/>
      <c r="L29" s="1196"/>
      <c r="M29" s="1196"/>
      <c r="N29" s="1196"/>
      <c r="O29" s="93"/>
      <c r="P29" s="93"/>
    </row>
    <row r="30" spans="1:16" s="94" customFormat="1" ht="19.5" customHeight="1">
      <c r="A30" s="89"/>
      <c r="B30" s="1200"/>
      <c r="C30" s="1200"/>
      <c r="D30" s="1200"/>
      <c r="E30" s="91"/>
      <c r="F30" s="91"/>
      <c r="G30" s="92"/>
      <c r="H30" s="92"/>
      <c r="I30" s="92"/>
      <c r="J30" s="1201"/>
      <c r="K30" s="1201"/>
      <c r="L30" s="1201"/>
      <c r="M30" s="1201"/>
      <c r="N30" s="1201"/>
      <c r="O30" s="93"/>
      <c r="P30" s="93"/>
    </row>
    <row r="31" spans="1:16" s="94" customFormat="1" ht="8.25" customHeight="1">
      <c r="A31" s="89"/>
      <c r="B31" s="95"/>
      <c r="C31" s="95" t="s">
        <v>102</v>
      </c>
      <c r="D31" s="95"/>
      <c r="E31" s="96"/>
      <c r="F31" s="96"/>
      <c r="G31" s="97"/>
      <c r="H31" s="97"/>
      <c r="I31" s="97"/>
      <c r="J31" s="95"/>
      <c r="K31" s="95"/>
      <c r="L31" s="95"/>
      <c r="M31" s="95"/>
      <c r="N31" s="95"/>
      <c r="O31" s="93"/>
      <c r="P31" s="93"/>
    </row>
    <row r="32" spans="1:16" s="94" customFormat="1" ht="9" customHeight="1">
      <c r="A32" s="89"/>
      <c r="B32" s="1234" t="s">
        <v>396</v>
      </c>
      <c r="C32" s="1234"/>
      <c r="D32" s="1234"/>
      <c r="E32" s="1234"/>
      <c r="F32" s="96"/>
      <c r="G32" s="97"/>
      <c r="H32" s="97"/>
      <c r="I32" s="97"/>
      <c r="J32" s="1233" t="s">
        <v>396</v>
      </c>
      <c r="K32" s="1233"/>
      <c r="L32" s="1233"/>
      <c r="M32" s="1233"/>
      <c r="N32" s="1233"/>
      <c r="O32" s="93"/>
      <c r="P32" s="93"/>
    </row>
    <row r="33" spans="1:16" s="94" customFormat="1" ht="19.5" customHeight="1">
      <c r="A33" s="89"/>
      <c r="B33" s="1196" t="s">
        <v>397</v>
      </c>
      <c r="C33" s="1196"/>
      <c r="D33" s="1196"/>
      <c r="E33" s="1196"/>
      <c r="F33" s="91"/>
      <c r="G33" s="92"/>
      <c r="H33" s="92"/>
      <c r="I33" s="92"/>
      <c r="J33" s="90"/>
      <c r="K33" s="1196" t="s">
        <v>397</v>
      </c>
      <c r="L33" s="1196"/>
      <c r="M33" s="1196"/>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194" t="s">
        <v>350</v>
      </c>
      <c r="C36" s="1194"/>
      <c r="D36" s="1194"/>
      <c r="E36" s="1194"/>
      <c r="F36" s="100"/>
      <c r="G36" s="100"/>
      <c r="H36" s="100"/>
      <c r="I36" s="100"/>
      <c r="J36" s="1195" t="s">
        <v>351</v>
      </c>
      <c r="K36" s="1195"/>
      <c r="L36" s="1195"/>
      <c r="M36" s="1195"/>
      <c r="N36" s="1195"/>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L2:N2"/>
    <mergeCell ref="L3:N3"/>
    <mergeCell ref="G7:J7"/>
    <mergeCell ref="K8:L8"/>
    <mergeCell ref="J28:N28"/>
    <mergeCell ref="J29:N29"/>
    <mergeCell ref="L4:N4"/>
    <mergeCell ref="O6:R6"/>
    <mergeCell ref="R7:R9"/>
    <mergeCell ref="Q7:Q9"/>
    <mergeCell ref="O8:O9"/>
    <mergeCell ref="P8:P9"/>
    <mergeCell ref="D5:K5"/>
    <mergeCell ref="C6:F7"/>
    <mergeCell ref="A4:D4"/>
    <mergeCell ref="E1:K2"/>
    <mergeCell ref="A1:D1"/>
    <mergeCell ref="E3:J3"/>
    <mergeCell ref="A3:D3"/>
    <mergeCell ref="A2:D2"/>
    <mergeCell ref="A11:B11"/>
    <mergeCell ref="A12:B12"/>
    <mergeCell ref="A10:B10"/>
    <mergeCell ref="A6:B9"/>
    <mergeCell ref="G6:N6"/>
    <mergeCell ref="I8:J8"/>
    <mergeCell ref="M8:N8"/>
    <mergeCell ref="K7:N7"/>
    <mergeCell ref="B36:E36"/>
    <mergeCell ref="J36:N36"/>
    <mergeCell ref="B29:E29"/>
    <mergeCell ref="E8:F8"/>
    <mergeCell ref="G8:H8"/>
    <mergeCell ref="C8:D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zoomScale="80" zoomScaleNormal="80" zoomScaleSheetLayoutView="85" zoomScalePageLayoutView="0" workbookViewId="0" topLeftCell="A13">
      <selection activeCell="C31" sqref="C31"/>
    </sheetView>
  </sheetViews>
  <sheetFormatPr defaultColWidth="9.00390625" defaultRowHeight="15.75"/>
  <cols>
    <col min="1" max="1" width="4.25390625" style="423" customWidth="1"/>
    <col min="2" max="2" width="46.375" style="423" customWidth="1"/>
    <col min="3" max="3" width="40.00390625" style="423" customWidth="1"/>
    <col min="4" max="16384" width="9.00390625" style="423" customWidth="1"/>
  </cols>
  <sheetData>
    <row r="1" spans="1:3" s="435" customFormat="1" ht="36" customHeight="1">
      <c r="A1" s="1521" t="s">
        <v>204</v>
      </c>
      <c r="B1" s="1522"/>
      <c r="C1" s="1522"/>
    </row>
    <row r="2" spans="1:3" s="472" customFormat="1" ht="19.5" customHeight="1">
      <c r="A2" s="1523" t="s">
        <v>69</v>
      </c>
      <c r="B2" s="1524"/>
      <c r="C2" s="471" t="s">
        <v>340</v>
      </c>
    </row>
    <row r="3" spans="1:3" s="443" customFormat="1" ht="18.75" customHeight="1">
      <c r="A3" s="1534" t="s">
        <v>6</v>
      </c>
      <c r="B3" s="1535"/>
      <c r="C3" s="440">
        <v>1</v>
      </c>
    </row>
    <row r="4" spans="1:3" s="443" customFormat="1" ht="19.5" customHeight="1">
      <c r="A4" s="440" t="s">
        <v>51</v>
      </c>
      <c r="B4" s="521" t="s">
        <v>557</v>
      </c>
      <c r="C4" s="402">
        <f>C5+C6+C7+C8+C9+C10+C11+C12+C13</f>
        <v>18801066</v>
      </c>
    </row>
    <row r="5" spans="1:3" s="26" customFormat="1" ht="19.5" customHeight="1">
      <c r="A5" s="444" t="s">
        <v>53</v>
      </c>
      <c r="B5" s="522" t="s">
        <v>167</v>
      </c>
      <c r="C5" s="406"/>
    </row>
    <row r="6" spans="1:3" s="26" customFormat="1" ht="19.5" customHeight="1">
      <c r="A6" s="445" t="s">
        <v>54</v>
      </c>
      <c r="B6" s="522" t="s">
        <v>169</v>
      </c>
      <c r="C6" s="406"/>
    </row>
    <row r="7" spans="1:5" s="26" customFormat="1" ht="19.5" customHeight="1">
      <c r="A7" s="445" t="s">
        <v>140</v>
      </c>
      <c r="B7" s="522" t="s">
        <v>179</v>
      </c>
      <c r="C7" s="406">
        <f>500000</f>
        <v>500000</v>
      </c>
      <c r="E7" s="26" t="s">
        <v>799</v>
      </c>
    </row>
    <row r="8" spans="1:3" s="26" customFormat="1" ht="19.5" customHeight="1">
      <c r="A8" s="445" t="s">
        <v>142</v>
      </c>
      <c r="B8" s="522" t="s">
        <v>171</v>
      </c>
      <c r="C8" s="406">
        <f>14479540+2896526+925000</f>
        <v>18301066</v>
      </c>
    </row>
    <row r="9" spans="1:3" s="26" customFormat="1" ht="19.5" customHeight="1">
      <c r="A9" s="445" t="s">
        <v>144</v>
      </c>
      <c r="B9" s="522" t="s">
        <v>155</v>
      </c>
      <c r="C9" s="406"/>
    </row>
    <row r="10" spans="1:3" s="26" customFormat="1" ht="19.5" customHeight="1">
      <c r="A10" s="445" t="s">
        <v>146</v>
      </c>
      <c r="B10" s="522" t="s">
        <v>184</v>
      </c>
      <c r="C10" s="406"/>
    </row>
    <row r="11" spans="1:3" s="26" customFormat="1" ht="19.5" customHeight="1">
      <c r="A11" s="445" t="s">
        <v>148</v>
      </c>
      <c r="B11" s="522" t="s">
        <v>157</v>
      </c>
      <c r="C11" s="406"/>
    </row>
    <row r="12" spans="1:3" s="446" customFormat="1" ht="19.5" customHeight="1">
      <c r="A12" s="445" t="s">
        <v>185</v>
      </c>
      <c r="B12" s="522" t="s">
        <v>186</v>
      </c>
      <c r="C12" s="406"/>
    </row>
    <row r="13" spans="1:3" s="446" customFormat="1" ht="19.5" customHeight="1">
      <c r="A13" s="445" t="s">
        <v>560</v>
      </c>
      <c r="B13" s="522" t="s">
        <v>159</v>
      </c>
      <c r="C13" s="406"/>
    </row>
    <row r="14" spans="1:3" s="446" customFormat="1" ht="19.5" customHeight="1">
      <c r="A14" s="440" t="s">
        <v>52</v>
      </c>
      <c r="B14" s="521" t="s">
        <v>558</v>
      </c>
      <c r="C14" s="402">
        <f>C15+C16</f>
        <v>1880000</v>
      </c>
    </row>
    <row r="15" spans="1:3" s="446" customFormat="1" ht="19.5" customHeight="1">
      <c r="A15" s="444" t="s">
        <v>55</v>
      </c>
      <c r="B15" s="522" t="s">
        <v>187</v>
      </c>
      <c r="C15" s="406">
        <f>1880000</f>
        <v>1880000</v>
      </c>
    </row>
    <row r="16" spans="1:3" s="446" customFormat="1" ht="19.5" customHeight="1">
      <c r="A16" s="444" t="s">
        <v>56</v>
      </c>
      <c r="B16" s="522" t="s">
        <v>159</v>
      </c>
      <c r="C16" s="406"/>
    </row>
    <row r="17" spans="1:3" s="443" customFormat="1" ht="19.5" customHeight="1">
      <c r="A17" s="440" t="s">
        <v>57</v>
      </c>
      <c r="B17" s="535" t="s">
        <v>149</v>
      </c>
      <c r="C17" s="402">
        <f>C18+C19+C20</f>
        <v>179000</v>
      </c>
    </row>
    <row r="18" spans="1:3" ht="19.5" customHeight="1">
      <c r="A18" s="444" t="s">
        <v>160</v>
      </c>
      <c r="B18" s="522" t="s">
        <v>188</v>
      </c>
      <c r="C18" s="406">
        <f>59000</f>
        <v>59000</v>
      </c>
    </row>
    <row r="19" spans="1:3" s="26" customFormat="1" ht="30">
      <c r="A19" s="445" t="s">
        <v>162</v>
      </c>
      <c r="B19" s="522" t="s">
        <v>163</v>
      </c>
      <c r="C19" s="406">
        <f>120000</f>
        <v>120000</v>
      </c>
    </row>
    <row r="20" spans="1:3" s="26" customFormat="1" ht="30.75" customHeight="1">
      <c r="A20" s="445" t="s">
        <v>164</v>
      </c>
      <c r="B20" s="522" t="s">
        <v>165</v>
      </c>
      <c r="C20" s="406"/>
    </row>
    <row r="21" spans="1:3" s="26" customFormat="1" ht="19.5" customHeight="1">
      <c r="A21" s="445" t="s">
        <v>72</v>
      </c>
      <c r="B21" s="521" t="s">
        <v>555</v>
      </c>
      <c r="C21" s="402">
        <f>C22+C23+C24+C25+C26+C27+C28</f>
        <v>2127032</v>
      </c>
    </row>
    <row r="22" spans="1:3" s="26" customFormat="1" ht="19.5" customHeight="1">
      <c r="A22" s="445" t="s">
        <v>166</v>
      </c>
      <c r="B22" s="522" t="s">
        <v>167</v>
      </c>
      <c r="C22" s="406">
        <f>4810</f>
        <v>4810</v>
      </c>
    </row>
    <row r="23" spans="1:3" s="26" customFormat="1" ht="19.5" customHeight="1">
      <c r="A23" s="445" t="s">
        <v>168</v>
      </c>
      <c r="B23" s="522" t="s">
        <v>169</v>
      </c>
      <c r="C23" s="406"/>
    </row>
    <row r="24" spans="1:3" s="26" customFormat="1" ht="19.5" customHeight="1">
      <c r="A24" s="445" t="s">
        <v>170</v>
      </c>
      <c r="B24" s="522" t="s">
        <v>189</v>
      </c>
      <c r="C24" s="406">
        <f>1860332+34423+16590+19409+21083+170385</f>
        <v>2122222</v>
      </c>
    </row>
    <row r="25" spans="1:3" s="26" customFormat="1" ht="19.5" customHeight="1">
      <c r="A25" s="445" t="s">
        <v>172</v>
      </c>
      <c r="B25" s="522" t="s">
        <v>154</v>
      </c>
      <c r="C25" s="406"/>
    </row>
    <row r="26" spans="1:3" s="26" customFormat="1" ht="19.5" customHeight="1">
      <c r="A26" s="445" t="s">
        <v>173</v>
      </c>
      <c r="B26" s="522" t="s">
        <v>190</v>
      </c>
      <c r="C26" s="406"/>
    </row>
    <row r="27" spans="1:3" s="26" customFormat="1" ht="19.5" customHeight="1">
      <c r="A27" s="445" t="s">
        <v>174</v>
      </c>
      <c r="B27" s="522" t="s">
        <v>157</v>
      </c>
      <c r="C27" s="406"/>
    </row>
    <row r="28" spans="1:3" s="26" customFormat="1" ht="19.5" customHeight="1">
      <c r="A28" s="445" t="s">
        <v>191</v>
      </c>
      <c r="B28" s="522" t="s">
        <v>192</v>
      </c>
      <c r="C28" s="406"/>
    </row>
    <row r="29" spans="1:3" s="26" customFormat="1" ht="19.5" customHeight="1">
      <c r="A29" s="440" t="s">
        <v>73</v>
      </c>
      <c r="B29" s="521" t="s">
        <v>559</v>
      </c>
      <c r="C29" s="402">
        <f>C30+C31+C32</f>
        <v>26408792</v>
      </c>
    </row>
    <row r="30" spans="1:3" ht="19.5" customHeight="1">
      <c r="A30" s="445" t="s">
        <v>176</v>
      </c>
      <c r="B30" s="522" t="s">
        <v>167</v>
      </c>
      <c r="C30" s="406">
        <v>26408792</v>
      </c>
    </row>
    <row r="31" spans="1:3" s="26" customFormat="1" ht="19.5" customHeight="1">
      <c r="A31" s="445" t="s">
        <v>177</v>
      </c>
      <c r="B31" s="522" t="s">
        <v>169</v>
      </c>
      <c r="C31" s="406"/>
    </row>
    <row r="32" spans="1:3" s="26" customFormat="1" ht="19.5" customHeight="1">
      <c r="A32" s="445" t="s">
        <v>178</v>
      </c>
      <c r="B32" s="522" t="s">
        <v>189</v>
      </c>
      <c r="C32" s="406"/>
    </row>
    <row r="33" spans="1:3" s="26" customFormat="1" ht="15.75">
      <c r="A33" s="447"/>
      <c r="B33" s="448"/>
      <c r="C33" s="448"/>
    </row>
    <row r="34" spans="1:3" s="408" customFormat="1" ht="18.75">
      <c r="A34" s="1538" t="str">
        <f>'Thong tin'!B8</f>
        <v>Tuyên Quang, ngày 05 tháng 04 năm 2017</v>
      </c>
      <c r="B34" s="1538"/>
      <c r="C34" s="1538"/>
    </row>
    <row r="35" spans="1:3" s="473" customFormat="1" ht="18.75">
      <c r="A35" s="1520" t="s">
        <v>4</v>
      </c>
      <c r="B35" s="1520"/>
      <c r="C35" s="523" t="str">
        <f>'Thong tin'!B7</f>
        <v>CỤC TRƯỞNG</v>
      </c>
    </row>
    <row r="36" spans="1:3" s="408" customFormat="1" ht="18.75">
      <c r="A36" s="543"/>
      <c r="B36" s="525"/>
      <c r="C36" s="525"/>
    </row>
    <row r="37" spans="1:3" s="408" customFormat="1" ht="18.75">
      <c r="A37" s="524"/>
      <c r="B37" s="525"/>
      <c r="C37" s="525"/>
    </row>
    <row r="38" spans="1:3" s="408" customFormat="1" ht="15.75">
      <c r="A38" s="524"/>
      <c r="B38" s="524"/>
      <c r="C38" s="524"/>
    </row>
    <row r="39" spans="1:3" ht="15.75">
      <c r="A39" s="527"/>
      <c r="B39" s="528"/>
      <c r="C39" s="529"/>
    </row>
    <row r="40" spans="1:3" s="443" customFormat="1" ht="18.75">
      <c r="A40" s="1519" t="str">
        <f>'Thong tin'!B5</f>
        <v>Duy Thị Thúy</v>
      </c>
      <c r="B40" s="1519"/>
      <c r="C40" s="531" t="str">
        <f>'Thong tin'!B6</f>
        <v>Nguyễn Tuyên </v>
      </c>
    </row>
  </sheetData>
  <sheetProtection/>
  <mergeCells count="6">
    <mergeCell ref="A2:B2"/>
    <mergeCell ref="A1:C1"/>
    <mergeCell ref="A3:B3"/>
    <mergeCell ref="A40:B40"/>
    <mergeCell ref="A35:B35"/>
    <mergeCell ref="A34:C34"/>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242"/>
  <sheetViews>
    <sheetView showZeros="0" zoomScale="80" zoomScaleNormal="80" zoomScaleSheetLayoutView="85" zoomScalePageLayoutView="0" workbookViewId="0" topLeftCell="A1">
      <selection activeCell="C26" sqref="C26"/>
    </sheetView>
  </sheetViews>
  <sheetFormatPr defaultColWidth="9.00390625" defaultRowHeight="15.75"/>
  <cols>
    <col min="1" max="1" width="6.75390625" style="477" customWidth="1"/>
    <col min="2" max="2" width="23.25390625" style="477" customWidth="1"/>
    <col min="3" max="3" width="12.625" style="477" customWidth="1"/>
    <col min="4" max="4" width="12.125" style="477" customWidth="1"/>
    <col min="5" max="5" width="9.375" style="477" customWidth="1"/>
    <col min="6" max="7" width="11.50390625" style="477" customWidth="1"/>
    <col min="8" max="8" width="10.75390625" style="477" customWidth="1"/>
    <col min="9" max="9" width="11.50390625" style="477" customWidth="1"/>
    <col min="10" max="10" width="11.25390625" style="477" customWidth="1"/>
    <col min="11" max="11" width="15.875" style="477" customWidth="1"/>
    <col min="12" max="12" width="13.37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6384" width="9.00390625" style="477" customWidth="1"/>
  </cols>
  <sheetData>
    <row r="1" spans="1:13" ht="21" customHeight="1">
      <c r="A1" s="1567" t="s">
        <v>32</v>
      </c>
      <c r="B1" s="1568"/>
      <c r="C1" s="474"/>
      <c r="D1" s="1561" t="s">
        <v>78</v>
      </c>
      <c r="E1" s="1561"/>
      <c r="F1" s="1561"/>
      <c r="G1" s="1561"/>
      <c r="H1" s="1561"/>
      <c r="I1" s="1561"/>
      <c r="J1" s="1561"/>
      <c r="K1" s="1570" t="s">
        <v>542</v>
      </c>
      <c r="L1" s="1570"/>
      <c r="M1" s="475"/>
    </row>
    <row r="2" spans="1:13" ht="16.5" customHeight="1">
      <c r="A2" s="1531" t="s">
        <v>342</v>
      </c>
      <c r="B2" s="1531"/>
      <c r="C2" s="1531"/>
      <c r="D2" s="1561" t="s">
        <v>214</v>
      </c>
      <c r="E2" s="1561"/>
      <c r="F2" s="1561"/>
      <c r="G2" s="1561"/>
      <c r="H2" s="1561"/>
      <c r="I2" s="1561"/>
      <c r="J2" s="1561"/>
      <c r="K2" s="1562" t="str">
        <f>'Thong tin'!B4</f>
        <v>Cục THADS tỉnh Tuyên Quang</v>
      </c>
      <c r="L2" s="1562"/>
      <c r="M2" s="478"/>
    </row>
    <row r="3" spans="1:13" ht="16.5" customHeight="1">
      <c r="A3" s="1531" t="s">
        <v>343</v>
      </c>
      <c r="B3" s="1531"/>
      <c r="C3" s="414"/>
      <c r="D3" s="1569" t="str">
        <f>'Thong tin'!B3</f>
        <v>06 tháng / năm 2017</v>
      </c>
      <c r="E3" s="1569"/>
      <c r="F3" s="1569"/>
      <c r="G3" s="1569"/>
      <c r="H3" s="1569"/>
      <c r="I3" s="1569"/>
      <c r="J3" s="1569"/>
      <c r="K3" s="1570" t="s">
        <v>509</v>
      </c>
      <c r="L3" s="1570"/>
      <c r="M3" s="475"/>
    </row>
    <row r="4" spans="1:13" ht="13.5" customHeight="1">
      <c r="A4" s="433" t="s">
        <v>118</v>
      </c>
      <c r="B4" s="433"/>
      <c r="C4" s="420"/>
      <c r="D4" s="479"/>
      <c r="E4" s="479"/>
      <c r="F4" s="480"/>
      <c r="G4" s="480"/>
      <c r="H4" s="480"/>
      <c r="I4" s="480"/>
      <c r="J4" s="480"/>
      <c r="K4" s="1562" t="s">
        <v>410</v>
      </c>
      <c r="L4" s="1562"/>
      <c r="M4" s="478"/>
    </row>
    <row r="5" spans="1:13" ht="14.25" customHeight="1">
      <c r="A5" s="479"/>
      <c r="B5" s="479" t="s">
        <v>93</v>
      </c>
      <c r="C5" s="479"/>
      <c r="D5" s="479"/>
      <c r="E5" s="1566" t="s">
        <v>508</v>
      </c>
      <c r="F5" s="1566"/>
      <c r="G5" s="1566"/>
      <c r="H5" s="1566"/>
      <c r="I5" s="1566"/>
      <c r="J5" s="479"/>
      <c r="K5" s="1563" t="s">
        <v>194</v>
      </c>
      <c r="L5" s="1563"/>
      <c r="M5" s="475"/>
    </row>
    <row r="6" spans="1:16" ht="20.25" customHeight="1">
      <c r="A6" s="1187" t="s">
        <v>70</v>
      </c>
      <c r="B6" s="1188"/>
      <c r="C6" s="1556" t="s">
        <v>37</v>
      </c>
      <c r="D6" s="1539" t="s">
        <v>337</v>
      </c>
      <c r="E6" s="1539"/>
      <c r="F6" s="1539"/>
      <c r="G6" s="1539"/>
      <c r="H6" s="1539"/>
      <c r="I6" s="1539"/>
      <c r="J6" s="1539"/>
      <c r="K6" s="1539"/>
      <c r="L6" s="1539"/>
      <c r="M6" s="478"/>
      <c r="N6" s="1560" t="s">
        <v>507</v>
      </c>
      <c r="O6" s="1560"/>
      <c r="P6" s="1560"/>
    </row>
    <row r="7" spans="1:13" ht="20.25" customHeight="1">
      <c r="A7" s="1189"/>
      <c r="B7" s="1190"/>
      <c r="C7" s="1556"/>
      <c r="D7" s="1540" t="s">
        <v>205</v>
      </c>
      <c r="E7" s="1541"/>
      <c r="F7" s="1541"/>
      <c r="G7" s="1541"/>
      <c r="H7" s="1541"/>
      <c r="I7" s="1541"/>
      <c r="J7" s="1542"/>
      <c r="K7" s="1543" t="s">
        <v>206</v>
      </c>
      <c r="L7" s="1543" t="s">
        <v>207</v>
      </c>
      <c r="M7" s="475"/>
    </row>
    <row r="8" spans="1:13" ht="20.25" customHeight="1">
      <c r="A8" s="1189"/>
      <c r="B8" s="1190"/>
      <c r="C8" s="1556"/>
      <c r="D8" s="1548" t="s">
        <v>36</v>
      </c>
      <c r="E8" s="1549" t="s">
        <v>7</v>
      </c>
      <c r="F8" s="1550"/>
      <c r="G8" s="1550"/>
      <c r="H8" s="1550"/>
      <c r="I8" s="1550"/>
      <c r="J8" s="1551"/>
      <c r="K8" s="1544"/>
      <c r="L8" s="1546"/>
      <c r="M8" s="475"/>
    </row>
    <row r="9" spans="1:16" ht="20.25" customHeight="1">
      <c r="A9" s="1554"/>
      <c r="B9" s="1555"/>
      <c r="C9" s="1556"/>
      <c r="D9" s="1548"/>
      <c r="E9" s="551" t="s">
        <v>208</v>
      </c>
      <c r="F9" s="551" t="s">
        <v>209</v>
      </c>
      <c r="G9" s="551" t="s">
        <v>210</v>
      </c>
      <c r="H9" s="551" t="s">
        <v>211</v>
      </c>
      <c r="I9" s="551" t="s">
        <v>344</v>
      </c>
      <c r="J9" s="551" t="s">
        <v>212</v>
      </c>
      <c r="K9" s="1545"/>
      <c r="L9" s="1547"/>
      <c r="M9" s="1572" t="s">
        <v>500</v>
      </c>
      <c r="N9" s="1572"/>
      <c r="O9" s="1572"/>
      <c r="P9" s="1572"/>
    </row>
    <row r="10" spans="1:18" s="486" customFormat="1" ht="16.5" customHeight="1">
      <c r="A10" s="1552" t="s">
        <v>6</v>
      </c>
      <c r="B10" s="1553"/>
      <c r="C10" s="481">
        <v>1</v>
      </c>
      <c r="D10" s="482">
        <v>2</v>
      </c>
      <c r="E10" s="481">
        <v>3</v>
      </c>
      <c r="F10" s="482">
        <v>4</v>
      </c>
      <c r="G10" s="481">
        <v>5</v>
      </c>
      <c r="H10" s="482">
        <v>6</v>
      </c>
      <c r="I10" s="481">
        <v>7</v>
      </c>
      <c r="J10" s="482">
        <v>8</v>
      </c>
      <c r="K10" s="481">
        <v>9</v>
      </c>
      <c r="L10" s="482">
        <v>10</v>
      </c>
      <c r="M10" s="483" t="s">
        <v>501</v>
      </c>
      <c r="N10" s="484" t="s">
        <v>504</v>
      </c>
      <c r="O10" s="484" t="s">
        <v>502</v>
      </c>
      <c r="P10" s="484" t="s">
        <v>503</v>
      </c>
      <c r="Q10" s="485"/>
      <c r="R10" s="485"/>
    </row>
    <row r="11" spans="1:18" s="487" customFormat="1" ht="19.5" customHeight="1">
      <c r="A11" s="506" t="s">
        <v>0</v>
      </c>
      <c r="B11" s="427" t="s">
        <v>130</v>
      </c>
      <c r="C11" s="888">
        <f>D11+K11+L11</f>
        <v>105732363</v>
      </c>
      <c r="D11" s="888">
        <f>E11+F11+G11+H11+I11+J11</f>
        <v>11407714</v>
      </c>
      <c r="E11" s="888">
        <f aca="true" t="shared" si="0" ref="E11:L11">E12+E13</f>
        <v>4017110</v>
      </c>
      <c r="F11" s="888">
        <f t="shared" si="0"/>
        <v>200</v>
      </c>
      <c r="G11" s="888">
        <f t="shared" si="0"/>
        <v>3505966</v>
      </c>
      <c r="H11" s="888">
        <f t="shared" si="0"/>
        <v>416392</v>
      </c>
      <c r="I11" s="888">
        <f t="shared" si="0"/>
        <v>1737203</v>
      </c>
      <c r="J11" s="888">
        <f t="shared" si="0"/>
        <v>1730843</v>
      </c>
      <c r="K11" s="888">
        <f t="shared" si="0"/>
        <v>9624101</v>
      </c>
      <c r="L11" s="888">
        <f t="shared" si="0"/>
        <v>84700548</v>
      </c>
      <c r="M11" s="402">
        <f>'03'!C11+'04'!C11</f>
        <v>105732363</v>
      </c>
      <c r="N11" s="402">
        <f>C11-M11</f>
        <v>0</v>
      </c>
      <c r="O11" s="402">
        <f>'07'!C11</f>
        <v>105732363</v>
      </c>
      <c r="P11" s="402">
        <f>C11-O11</f>
        <v>0</v>
      </c>
      <c r="Q11" s="390"/>
      <c r="R11" s="390"/>
    </row>
    <row r="12" spans="1:18" s="487" customFormat="1" ht="19.5" customHeight="1">
      <c r="A12" s="507">
        <v>1</v>
      </c>
      <c r="B12" s="429" t="s">
        <v>131</v>
      </c>
      <c r="C12" s="887">
        <f aca="true" t="shared" si="1" ref="C12:C25">SUM(D12,K12,L12)</f>
        <v>78414739</v>
      </c>
      <c r="D12" s="887">
        <f aca="true" t="shared" si="2" ref="D12:D25">SUM(E12:J12)</f>
        <v>8528866</v>
      </c>
      <c r="E12" s="824">
        <f>E53+E78+E102+E127+E152+E177+E202+E227</f>
        <v>2940170</v>
      </c>
      <c r="F12" s="824">
        <f aca="true" t="shared" si="3" ref="F12:L12">F53+F78+F102+F127+F152+F177+F202+F227</f>
        <v>0</v>
      </c>
      <c r="G12" s="824">
        <f t="shared" si="3"/>
        <v>2955356</v>
      </c>
      <c r="H12" s="824">
        <f t="shared" si="3"/>
        <v>32000</v>
      </c>
      <c r="I12" s="824">
        <f t="shared" si="3"/>
        <v>1667007</v>
      </c>
      <c r="J12" s="824">
        <f t="shared" si="3"/>
        <v>934333</v>
      </c>
      <c r="K12" s="824">
        <f t="shared" si="3"/>
        <v>9213095</v>
      </c>
      <c r="L12" s="824">
        <f t="shared" si="3"/>
        <v>60672778</v>
      </c>
      <c r="M12" s="406">
        <f>'03'!C12+'04'!C12</f>
        <v>78414739</v>
      </c>
      <c r="N12" s="406">
        <f aca="true" t="shared" si="4" ref="N12:N26">C12-M12</f>
        <v>0</v>
      </c>
      <c r="O12" s="406">
        <f>'07'!D11</f>
        <v>78414739</v>
      </c>
      <c r="P12" s="406">
        <f aca="true" t="shared" si="5" ref="P12:P26">C12-O12</f>
        <v>0</v>
      </c>
      <c r="Q12" s="400"/>
      <c r="R12" s="428"/>
    </row>
    <row r="13" spans="1:18" s="487" customFormat="1" ht="19.5" customHeight="1">
      <c r="A13" s="507">
        <v>2</v>
      </c>
      <c r="B13" s="429" t="s">
        <v>132</v>
      </c>
      <c r="C13" s="887">
        <f t="shared" si="1"/>
        <v>27317624</v>
      </c>
      <c r="D13" s="887">
        <f t="shared" si="2"/>
        <v>2878848</v>
      </c>
      <c r="E13" s="824">
        <f aca="true" t="shared" si="6" ref="E13:L15">E54+E79+E103+E128+E153+E178+E203+E228</f>
        <v>1076940</v>
      </c>
      <c r="F13" s="824">
        <f t="shared" si="6"/>
        <v>200</v>
      </c>
      <c r="G13" s="824">
        <f t="shared" si="6"/>
        <v>550610</v>
      </c>
      <c r="H13" s="824">
        <f t="shared" si="6"/>
        <v>384392</v>
      </c>
      <c r="I13" s="824">
        <f t="shared" si="6"/>
        <v>70196</v>
      </c>
      <c r="J13" s="824">
        <f t="shared" si="6"/>
        <v>796510</v>
      </c>
      <c r="K13" s="824">
        <f t="shared" si="6"/>
        <v>411006</v>
      </c>
      <c r="L13" s="824">
        <f t="shared" si="6"/>
        <v>24027770</v>
      </c>
      <c r="M13" s="406">
        <f>'03'!C13+'04'!C13</f>
        <v>27317624</v>
      </c>
      <c r="N13" s="406">
        <f t="shared" si="4"/>
        <v>0</v>
      </c>
      <c r="O13" s="406">
        <f>'07'!E11</f>
        <v>27317624</v>
      </c>
      <c r="P13" s="406">
        <f t="shared" si="5"/>
        <v>0</v>
      </c>
      <c r="Q13" s="400"/>
      <c r="R13" s="428"/>
    </row>
    <row r="14" spans="1:18" s="487" customFormat="1" ht="19.5" customHeight="1">
      <c r="A14" s="508" t="s">
        <v>1</v>
      </c>
      <c r="B14" s="394" t="s">
        <v>133</v>
      </c>
      <c r="C14" s="887">
        <f t="shared" si="1"/>
        <v>2119393</v>
      </c>
      <c r="D14" s="887">
        <f t="shared" si="2"/>
        <v>128676</v>
      </c>
      <c r="E14" s="826">
        <f t="shared" si="6"/>
        <v>82741</v>
      </c>
      <c r="F14" s="826">
        <f t="shared" si="6"/>
        <v>0</v>
      </c>
      <c r="G14" s="826">
        <f t="shared" si="6"/>
        <v>40435</v>
      </c>
      <c r="H14" s="826">
        <f t="shared" si="6"/>
        <v>0</v>
      </c>
      <c r="I14" s="826">
        <f t="shared" si="6"/>
        <v>5500</v>
      </c>
      <c r="J14" s="826">
        <f t="shared" si="6"/>
        <v>0</v>
      </c>
      <c r="K14" s="826">
        <f t="shared" si="6"/>
        <v>34751</v>
      </c>
      <c r="L14" s="826">
        <f t="shared" si="6"/>
        <v>1955966</v>
      </c>
      <c r="M14" s="406">
        <f>'03'!C14+'04'!C14</f>
        <v>2119393</v>
      </c>
      <c r="N14" s="406">
        <f t="shared" si="4"/>
        <v>0</v>
      </c>
      <c r="O14" s="406">
        <f>'07'!F11</f>
        <v>2119393</v>
      </c>
      <c r="P14" s="406">
        <f t="shared" si="5"/>
        <v>0</v>
      </c>
      <c r="Q14" s="390"/>
      <c r="R14" s="428"/>
    </row>
    <row r="15" spans="1:18" s="487" customFormat="1" ht="19.5" customHeight="1">
      <c r="A15" s="508" t="s">
        <v>9</v>
      </c>
      <c r="B15" s="394" t="s">
        <v>134</v>
      </c>
      <c r="C15" s="887">
        <f t="shared" si="1"/>
        <v>570000</v>
      </c>
      <c r="D15" s="887">
        <f>E15+F15+G15+H15+I15+J15</f>
        <v>0</v>
      </c>
      <c r="E15" s="826">
        <f t="shared" si="6"/>
        <v>0</v>
      </c>
      <c r="F15" s="826">
        <f t="shared" si="6"/>
        <v>0</v>
      </c>
      <c r="G15" s="826">
        <f t="shared" si="6"/>
        <v>0</v>
      </c>
      <c r="H15" s="826">
        <f t="shared" si="6"/>
        <v>0</v>
      </c>
      <c r="I15" s="826">
        <f t="shared" si="6"/>
        <v>0</v>
      </c>
      <c r="J15" s="826">
        <f t="shared" si="6"/>
        <v>0</v>
      </c>
      <c r="K15" s="826">
        <f>570000</f>
        <v>570000</v>
      </c>
      <c r="L15" s="826">
        <f t="shared" si="6"/>
        <v>0</v>
      </c>
      <c r="M15" s="406">
        <f>'03'!C15+'04'!C15</f>
        <v>570000</v>
      </c>
      <c r="N15" s="406">
        <f t="shared" si="4"/>
        <v>0</v>
      </c>
      <c r="O15" s="406">
        <f>'07'!G11</f>
        <v>570000</v>
      </c>
      <c r="P15" s="406">
        <f t="shared" si="5"/>
        <v>0</v>
      </c>
      <c r="Q15" s="390"/>
      <c r="R15" s="390"/>
    </row>
    <row r="16" spans="1:18" s="487" customFormat="1" ht="19.5" customHeight="1">
      <c r="A16" s="508" t="s">
        <v>135</v>
      </c>
      <c r="B16" s="394" t="s">
        <v>136</v>
      </c>
      <c r="C16" s="889">
        <f t="shared" si="1"/>
        <v>103612970</v>
      </c>
      <c r="D16" s="889">
        <f t="shared" si="2"/>
        <v>11279038</v>
      </c>
      <c r="E16" s="888">
        <f>E11-SUM(E14,E15)</f>
        <v>3934369</v>
      </c>
      <c r="F16" s="888">
        <f aca="true" t="shared" si="7" ref="F16:L16">F11-SUM(F14,F15)</f>
        <v>200</v>
      </c>
      <c r="G16" s="888">
        <f t="shared" si="7"/>
        <v>3465531</v>
      </c>
      <c r="H16" s="889">
        <f>H11-SUM(H14,H15)</f>
        <v>416392</v>
      </c>
      <c r="I16" s="888">
        <f t="shared" si="7"/>
        <v>1731703</v>
      </c>
      <c r="J16" s="888">
        <f t="shared" si="7"/>
        <v>1730843</v>
      </c>
      <c r="K16" s="888">
        <f>K11-SUM(K14)</f>
        <v>9589350</v>
      </c>
      <c r="L16" s="888">
        <f t="shared" si="7"/>
        <v>82744582</v>
      </c>
      <c r="M16" s="402">
        <f>'03'!C16+'04'!C16</f>
        <v>103612970</v>
      </c>
      <c r="N16" s="402">
        <f t="shared" si="4"/>
        <v>0</v>
      </c>
      <c r="O16" s="402">
        <f>'07'!H11</f>
        <v>103612970</v>
      </c>
      <c r="P16" s="402">
        <f t="shared" si="5"/>
        <v>0</v>
      </c>
      <c r="Q16" s="390"/>
      <c r="R16" s="390"/>
    </row>
    <row r="17" spans="1:18" s="487" customFormat="1" ht="19.5" customHeight="1">
      <c r="A17" s="508" t="s">
        <v>51</v>
      </c>
      <c r="B17" s="430" t="s">
        <v>137</v>
      </c>
      <c r="C17" s="889">
        <f>C18+C19+C20+C21+C22+C23+C24+C25</f>
        <v>69722325</v>
      </c>
      <c r="D17" s="889">
        <f aca="true" t="shared" si="8" ref="D17:L17">D18+D19+D20+D21+D22+D23+D24+D25</f>
        <v>3835685</v>
      </c>
      <c r="E17" s="889">
        <f t="shared" si="8"/>
        <v>1700426</v>
      </c>
      <c r="F17" s="889">
        <f t="shared" si="8"/>
        <v>200</v>
      </c>
      <c r="G17" s="889">
        <f t="shared" si="8"/>
        <v>815334</v>
      </c>
      <c r="H17" s="889">
        <f t="shared" si="8"/>
        <v>384292</v>
      </c>
      <c r="I17" s="889">
        <f t="shared" si="8"/>
        <v>76114</v>
      </c>
      <c r="J17" s="889">
        <f t="shared" si="8"/>
        <v>859319</v>
      </c>
      <c r="K17" s="889">
        <f t="shared" si="8"/>
        <v>9323992</v>
      </c>
      <c r="L17" s="889">
        <f t="shared" si="8"/>
        <v>56562648</v>
      </c>
      <c r="M17" s="402">
        <f>'03'!C17+'04'!C17</f>
        <v>69722325</v>
      </c>
      <c r="N17" s="402">
        <f t="shared" si="4"/>
        <v>0</v>
      </c>
      <c r="O17" s="402">
        <f>'07'!I11</f>
        <v>69722325</v>
      </c>
      <c r="P17" s="402">
        <f t="shared" si="5"/>
        <v>0</v>
      </c>
      <c r="Q17" s="390"/>
      <c r="R17" s="390"/>
    </row>
    <row r="18" spans="1:18" s="487" customFormat="1" ht="19.5" customHeight="1">
      <c r="A18" s="507" t="s">
        <v>53</v>
      </c>
      <c r="B18" s="429" t="s">
        <v>138</v>
      </c>
      <c r="C18" s="887">
        <f t="shared" si="1"/>
        <v>7328729</v>
      </c>
      <c r="D18" s="887">
        <f>SUM(E18:J18)</f>
        <v>2137140</v>
      </c>
      <c r="E18" s="825">
        <f>E59+E84+E108+E133+E158+E183+E208+E233</f>
        <v>474482</v>
      </c>
      <c r="F18" s="825">
        <f aca="true" t="shared" si="9" ref="F18:L18">F59+F84+F108+F133+F158+F183+F208+F233</f>
        <v>200</v>
      </c>
      <c r="G18" s="825">
        <f t="shared" si="9"/>
        <v>450915</v>
      </c>
      <c r="H18" s="825">
        <f t="shared" si="9"/>
        <v>381316</v>
      </c>
      <c r="I18" s="825">
        <f t="shared" si="9"/>
        <v>53084</v>
      </c>
      <c r="J18" s="825">
        <f t="shared" si="9"/>
        <v>777143</v>
      </c>
      <c r="K18" s="825">
        <f t="shared" si="9"/>
        <v>142444</v>
      </c>
      <c r="L18" s="825">
        <f t="shared" si="9"/>
        <v>5049145</v>
      </c>
      <c r="M18" s="406">
        <f>'03'!C18+'04'!C18</f>
        <v>7328729</v>
      </c>
      <c r="N18" s="406">
        <f t="shared" si="4"/>
        <v>0</v>
      </c>
      <c r="O18" s="406">
        <f>'07'!J11</f>
        <v>7328729</v>
      </c>
      <c r="P18" s="406">
        <f t="shared" si="5"/>
        <v>0</v>
      </c>
      <c r="Q18" s="390"/>
      <c r="R18" s="390"/>
    </row>
    <row r="19" spans="1:18" s="487" customFormat="1" ht="19.5" customHeight="1">
      <c r="A19" s="507" t="s">
        <v>54</v>
      </c>
      <c r="B19" s="429" t="s">
        <v>139</v>
      </c>
      <c r="C19" s="887">
        <f>SUM(D19,K19,L19)</f>
        <v>2315351</v>
      </c>
      <c r="D19" s="887">
        <f t="shared" si="2"/>
        <v>188319</v>
      </c>
      <c r="E19" s="825">
        <f aca="true" t="shared" si="10" ref="E19:L25">E60+E85+E109+E134+E159+E184+E209+E234</f>
        <v>15725</v>
      </c>
      <c r="F19" s="825">
        <f t="shared" si="10"/>
        <v>0</v>
      </c>
      <c r="G19" s="825">
        <f t="shared" si="10"/>
        <v>155660</v>
      </c>
      <c r="H19" s="825">
        <f t="shared" si="10"/>
        <v>0</v>
      </c>
      <c r="I19" s="825">
        <f t="shared" si="10"/>
        <v>4100</v>
      </c>
      <c r="J19" s="825">
        <f t="shared" si="10"/>
        <v>12834</v>
      </c>
      <c r="K19" s="825">
        <f t="shared" si="10"/>
        <v>344</v>
      </c>
      <c r="L19" s="825">
        <f t="shared" si="10"/>
        <v>2126688</v>
      </c>
      <c r="M19" s="406">
        <f>'03'!C19+'04'!C19</f>
        <v>2315351</v>
      </c>
      <c r="N19" s="406">
        <f t="shared" si="4"/>
        <v>0</v>
      </c>
      <c r="O19" s="406">
        <f>'07'!K11</f>
        <v>2315351</v>
      </c>
      <c r="P19" s="406">
        <f t="shared" si="5"/>
        <v>0</v>
      </c>
      <c r="Q19" s="390"/>
      <c r="R19" s="390"/>
    </row>
    <row r="20" spans="1:18" s="487" customFormat="1" ht="19.5" customHeight="1">
      <c r="A20" s="507" t="s">
        <v>140</v>
      </c>
      <c r="B20" s="429" t="s">
        <v>201</v>
      </c>
      <c r="C20" s="887">
        <f t="shared" si="1"/>
        <v>31002</v>
      </c>
      <c r="D20" s="887">
        <f t="shared" si="2"/>
        <v>31002</v>
      </c>
      <c r="E20" s="825">
        <f t="shared" si="10"/>
        <v>6257</v>
      </c>
      <c r="F20" s="825">
        <f t="shared" si="10"/>
        <v>0</v>
      </c>
      <c r="G20" s="825">
        <f t="shared" si="10"/>
        <v>16530</v>
      </c>
      <c r="H20" s="825">
        <f t="shared" si="10"/>
        <v>0</v>
      </c>
      <c r="I20" s="825">
        <f t="shared" si="10"/>
        <v>6590</v>
      </c>
      <c r="J20" s="825">
        <f t="shared" si="10"/>
        <v>1625</v>
      </c>
      <c r="K20" s="825">
        <f t="shared" si="10"/>
        <v>0</v>
      </c>
      <c r="L20" s="825">
        <f t="shared" si="10"/>
        <v>0</v>
      </c>
      <c r="M20" s="406">
        <f>'03'!C20</f>
        <v>31002</v>
      </c>
      <c r="N20" s="406">
        <f t="shared" si="4"/>
        <v>0</v>
      </c>
      <c r="O20" s="406">
        <f>'07'!L11</f>
        <v>31002</v>
      </c>
      <c r="P20" s="406">
        <f t="shared" si="5"/>
        <v>0</v>
      </c>
      <c r="Q20" s="390"/>
      <c r="R20" s="390"/>
    </row>
    <row r="21" spans="1:18" s="487" customFormat="1" ht="19.5" customHeight="1">
      <c r="A21" s="507" t="s">
        <v>142</v>
      </c>
      <c r="B21" s="429" t="s">
        <v>141</v>
      </c>
      <c r="C21" s="887">
        <f t="shared" si="1"/>
        <v>38742903</v>
      </c>
      <c r="D21" s="887">
        <f t="shared" si="2"/>
        <v>1034950</v>
      </c>
      <c r="E21" s="825">
        <f t="shared" si="10"/>
        <v>767139</v>
      </c>
      <c r="F21" s="825">
        <f t="shared" si="10"/>
        <v>0</v>
      </c>
      <c r="G21" s="825">
        <f t="shared" si="10"/>
        <v>185234</v>
      </c>
      <c r="H21" s="825">
        <f t="shared" si="10"/>
        <v>2976</v>
      </c>
      <c r="I21" s="825">
        <f t="shared" si="10"/>
        <v>12340</v>
      </c>
      <c r="J21" s="825">
        <f t="shared" si="10"/>
        <v>67261</v>
      </c>
      <c r="K21" s="825">
        <f t="shared" si="10"/>
        <v>9181204</v>
      </c>
      <c r="L21" s="825">
        <f t="shared" si="10"/>
        <v>28526749</v>
      </c>
      <c r="M21" s="406">
        <f>'03'!C21+'04'!C20</f>
        <v>38742903</v>
      </c>
      <c r="N21" s="406">
        <f t="shared" si="4"/>
        <v>0</v>
      </c>
      <c r="O21" s="406">
        <f>'07'!M11</f>
        <v>38742903</v>
      </c>
      <c r="P21" s="406">
        <f t="shared" si="5"/>
        <v>0</v>
      </c>
      <c r="Q21" s="390"/>
      <c r="R21" s="390"/>
    </row>
    <row r="22" spans="1:18" s="487" customFormat="1" ht="19.5" customHeight="1">
      <c r="A22" s="507" t="s">
        <v>144</v>
      </c>
      <c r="B22" s="429" t="s">
        <v>143</v>
      </c>
      <c r="C22" s="887">
        <f>D22+K22+L22</f>
        <v>19095885</v>
      </c>
      <c r="D22" s="887">
        <f>E22+F22+G22+H22+I22+J22</f>
        <v>294819</v>
      </c>
      <c r="E22" s="900">
        <f t="shared" si="10"/>
        <v>294819</v>
      </c>
      <c r="F22" s="900">
        <f t="shared" si="10"/>
        <v>0</v>
      </c>
      <c r="G22" s="900">
        <f t="shared" si="10"/>
        <v>0</v>
      </c>
      <c r="H22" s="900">
        <f t="shared" si="10"/>
        <v>0</v>
      </c>
      <c r="I22" s="900">
        <f t="shared" si="10"/>
        <v>0</v>
      </c>
      <c r="J22" s="900">
        <f t="shared" si="10"/>
        <v>0</v>
      </c>
      <c r="K22" s="900">
        <f t="shared" si="10"/>
        <v>0</v>
      </c>
      <c r="L22" s="900">
        <f t="shared" si="10"/>
        <v>18801066</v>
      </c>
      <c r="M22" s="406">
        <f>'03'!C22+'04'!C21</f>
        <v>19095885</v>
      </c>
      <c r="N22" s="406">
        <f t="shared" si="4"/>
        <v>0</v>
      </c>
      <c r="O22" s="406">
        <f>'07'!N11</f>
        <v>19095885</v>
      </c>
      <c r="P22" s="406">
        <f t="shared" si="5"/>
        <v>0</v>
      </c>
      <c r="Q22" s="390"/>
      <c r="R22" s="390"/>
    </row>
    <row r="23" spans="1:18" s="487" customFormat="1" ht="19.5" customHeight="1">
      <c r="A23" s="507" t="s">
        <v>146</v>
      </c>
      <c r="B23" s="429" t="s">
        <v>145</v>
      </c>
      <c r="C23" s="887">
        <f t="shared" si="1"/>
        <v>2019074</v>
      </c>
      <c r="D23" s="887">
        <f t="shared" si="2"/>
        <v>139074</v>
      </c>
      <c r="E23" s="900">
        <f t="shared" si="10"/>
        <v>139074</v>
      </c>
      <c r="F23" s="900">
        <f t="shared" si="10"/>
        <v>0</v>
      </c>
      <c r="G23" s="900">
        <f t="shared" si="10"/>
        <v>0</v>
      </c>
      <c r="H23" s="900">
        <f t="shared" si="10"/>
        <v>0</v>
      </c>
      <c r="I23" s="900">
        <f t="shared" si="10"/>
        <v>0</v>
      </c>
      <c r="J23" s="900">
        <f t="shared" si="10"/>
        <v>0</v>
      </c>
      <c r="K23" s="900">
        <f t="shared" si="10"/>
        <v>0</v>
      </c>
      <c r="L23" s="900">
        <f t="shared" si="10"/>
        <v>1880000</v>
      </c>
      <c r="M23" s="406">
        <f>'03'!C23+'04'!C22</f>
        <v>2019074</v>
      </c>
      <c r="N23" s="406">
        <f t="shared" si="4"/>
        <v>0</v>
      </c>
      <c r="O23" s="406">
        <f>'07'!O11</f>
        <v>2019074</v>
      </c>
      <c r="P23" s="406">
        <f t="shared" si="5"/>
        <v>0</v>
      </c>
      <c r="Q23" s="390"/>
      <c r="R23" s="390"/>
    </row>
    <row r="24" spans="1:18" s="487" customFormat="1" ht="24" customHeight="1">
      <c r="A24" s="507" t="s">
        <v>148</v>
      </c>
      <c r="B24" s="431" t="s">
        <v>147</v>
      </c>
      <c r="C24" s="887">
        <f t="shared" si="1"/>
        <v>0</v>
      </c>
      <c r="D24" s="887">
        <f t="shared" si="2"/>
        <v>0</v>
      </c>
      <c r="E24" s="900">
        <f t="shared" si="10"/>
        <v>0</v>
      </c>
      <c r="F24" s="900">
        <f t="shared" si="10"/>
        <v>0</v>
      </c>
      <c r="G24" s="900">
        <f t="shared" si="10"/>
        <v>0</v>
      </c>
      <c r="H24" s="900">
        <f t="shared" si="10"/>
        <v>0</v>
      </c>
      <c r="I24" s="900">
        <f t="shared" si="10"/>
        <v>0</v>
      </c>
      <c r="J24" s="900">
        <f t="shared" si="10"/>
        <v>0</v>
      </c>
      <c r="K24" s="900">
        <f t="shared" si="10"/>
        <v>0</v>
      </c>
      <c r="L24" s="900">
        <f t="shared" si="10"/>
        <v>0</v>
      </c>
      <c r="M24" s="406">
        <f>'03'!C24+'04'!C23</f>
        <v>0</v>
      </c>
      <c r="N24" s="406">
        <f t="shared" si="4"/>
        <v>0</v>
      </c>
      <c r="O24" s="406">
        <f>'07'!P11</f>
        <v>0</v>
      </c>
      <c r="P24" s="406">
        <f t="shared" si="5"/>
        <v>0</v>
      </c>
      <c r="Q24" s="390"/>
      <c r="R24" s="390"/>
    </row>
    <row r="25" spans="1:18" s="487" customFormat="1" ht="18" customHeight="1">
      <c r="A25" s="507" t="s">
        <v>185</v>
      </c>
      <c r="B25" s="429" t="s">
        <v>149</v>
      </c>
      <c r="C25" s="887">
        <f t="shared" si="1"/>
        <v>189381</v>
      </c>
      <c r="D25" s="887">
        <f t="shared" si="2"/>
        <v>10381</v>
      </c>
      <c r="E25" s="900">
        <f t="shared" si="10"/>
        <v>2930</v>
      </c>
      <c r="F25" s="900">
        <f t="shared" si="10"/>
        <v>0</v>
      </c>
      <c r="G25" s="900">
        <f t="shared" si="10"/>
        <v>6995</v>
      </c>
      <c r="H25" s="900">
        <f t="shared" si="10"/>
        <v>0</v>
      </c>
      <c r="I25" s="900">
        <f t="shared" si="10"/>
        <v>0</v>
      </c>
      <c r="J25" s="900">
        <f t="shared" si="10"/>
        <v>456</v>
      </c>
      <c r="K25" s="900">
        <f t="shared" si="10"/>
        <v>0</v>
      </c>
      <c r="L25" s="900">
        <f t="shared" si="10"/>
        <v>179000</v>
      </c>
      <c r="M25" s="406">
        <f>'03'!C25+'04'!C24</f>
        <v>189381</v>
      </c>
      <c r="N25" s="406">
        <f t="shared" si="4"/>
        <v>0</v>
      </c>
      <c r="O25" s="406">
        <f>'07'!Q11</f>
        <v>189381</v>
      </c>
      <c r="P25" s="406">
        <f t="shared" si="5"/>
        <v>0</v>
      </c>
      <c r="Q25" s="390"/>
      <c r="R25" s="390"/>
    </row>
    <row r="26" spans="1:18" s="487" customFormat="1" ht="20.25" customHeight="1">
      <c r="A26" s="508" t="s">
        <v>52</v>
      </c>
      <c r="B26" s="394" t="s">
        <v>150</v>
      </c>
      <c r="C26" s="889">
        <f>C11-C14-C17</f>
        <v>33890645</v>
      </c>
      <c r="D26" s="889">
        <f>SUM(E26:J26)</f>
        <v>7443353</v>
      </c>
      <c r="E26" s="889">
        <f>E16-E17</f>
        <v>2233943</v>
      </c>
      <c r="F26" s="889">
        <f aca="true" t="shared" si="11" ref="F26:K26">F16-F17</f>
        <v>0</v>
      </c>
      <c r="G26" s="889">
        <f t="shared" si="11"/>
        <v>2650197</v>
      </c>
      <c r="H26" s="889">
        <f t="shared" si="11"/>
        <v>32100</v>
      </c>
      <c r="I26" s="889">
        <f t="shared" si="11"/>
        <v>1655589</v>
      </c>
      <c r="J26" s="889">
        <f t="shared" si="11"/>
        <v>871524</v>
      </c>
      <c r="K26" s="889">
        <f t="shared" si="11"/>
        <v>265358</v>
      </c>
      <c r="L26" s="889">
        <f>L16-L17</f>
        <v>26181934</v>
      </c>
      <c r="M26" s="402">
        <f>'03'!C26+'04'!C25</f>
        <v>33890645</v>
      </c>
      <c r="N26" s="402">
        <f t="shared" si="4"/>
        <v>0</v>
      </c>
      <c r="O26" s="402">
        <f>'07'!R11</f>
        <v>33890645</v>
      </c>
      <c r="P26" s="402">
        <f t="shared" si="5"/>
        <v>0</v>
      </c>
      <c r="Q26" s="390"/>
      <c r="R26" s="390"/>
    </row>
    <row r="27" spans="1:18" s="487" customFormat="1" ht="24" customHeight="1">
      <c r="A27" s="534" t="s">
        <v>540</v>
      </c>
      <c r="B27" s="488" t="s">
        <v>213</v>
      </c>
      <c r="C27" s="532">
        <f>(C18+C19+C20)/C17</f>
        <v>0.13876591177933323</v>
      </c>
      <c r="D27" s="532">
        <f aca="true" t="shared" si="12" ref="D27:L27">(D18+D19+D20)/D17</f>
        <v>0.6143520648854116</v>
      </c>
      <c r="E27" s="533">
        <f t="shared" si="12"/>
        <v>0.2919644841939608</v>
      </c>
      <c r="F27" s="533">
        <f t="shared" si="12"/>
        <v>1</v>
      </c>
      <c r="G27" s="533">
        <f t="shared" si="12"/>
        <v>0.7642328174711223</v>
      </c>
      <c r="H27" s="533">
        <f t="shared" si="12"/>
        <v>0.992255888751262</v>
      </c>
      <c r="I27" s="533">
        <f t="shared" si="12"/>
        <v>0.8378747667971727</v>
      </c>
      <c r="J27" s="533">
        <f t="shared" si="12"/>
        <v>0.9211969012671662</v>
      </c>
      <c r="K27" s="533">
        <f t="shared" si="12"/>
        <v>0.015314041453489021</v>
      </c>
      <c r="L27" s="533">
        <f t="shared" si="12"/>
        <v>0.12686522384878446</v>
      </c>
      <c r="M27" s="424"/>
      <c r="N27" s="489"/>
      <c r="O27" s="489"/>
      <c r="P27" s="489"/>
      <c r="Q27" s="390"/>
      <c r="R27" s="390"/>
    </row>
    <row r="28" spans="1:18" s="487" customFormat="1" ht="30" customHeight="1" hidden="1">
      <c r="A28" s="1564" t="s">
        <v>498</v>
      </c>
      <c r="B28" s="1564"/>
      <c r="C28" s="406">
        <f>C11-C14-C15-C16</f>
        <v>-570000</v>
      </c>
      <c r="D28" s="406">
        <f aca="true" t="shared" si="13" ref="D28:L28">D11-D14-D15-D16</f>
        <v>0</v>
      </c>
      <c r="E28" s="406">
        <f t="shared" si="13"/>
        <v>0</v>
      </c>
      <c r="F28" s="406">
        <f t="shared" si="13"/>
        <v>0</v>
      </c>
      <c r="G28" s="406">
        <f t="shared" si="13"/>
        <v>0</v>
      </c>
      <c r="H28" s="406">
        <f t="shared" si="13"/>
        <v>0</v>
      </c>
      <c r="I28" s="406">
        <f t="shared" si="13"/>
        <v>0</v>
      </c>
      <c r="J28" s="406">
        <f t="shared" si="13"/>
        <v>0</v>
      </c>
      <c r="K28" s="406">
        <f t="shared" si="13"/>
        <v>-570000</v>
      </c>
      <c r="L28" s="406">
        <f t="shared" si="13"/>
        <v>0</v>
      </c>
      <c r="M28" s="424"/>
      <c r="N28" s="489"/>
      <c r="O28" s="489"/>
      <c r="P28" s="489"/>
      <c r="Q28" s="390"/>
      <c r="R28" s="390"/>
    </row>
    <row r="29" spans="1:18" s="487" customFormat="1" ht="14.25" customHeight="1">
      <c r="A29" s="1565" t="s">
        <v>499</v>
      </c>
      <c r="B29" s="1565"/>
      <c r="C29" s="406">
        <f>C16-C17-C26</f>
        <v>0</v>
      </c>
      <c r="D29" s="406">
        <f aca="true" t="shared" si="14" ref="D29:L29">D16-D17-D26</f>
        <v>0</v>
      </c>
      <c r="E29" s="406">
        <f t="shared" si="14"/>
        <v>0</v>
      </c>
      <c r="F29" s="406">
        <f t="shared" si="14"/>
        <v>0</v>
      </c>
      <c r="G29" s="406">
        <f t="shared" si="14"/>
        <v>0</v>
      </c>
      <c r="H29" s="406">
        <f t="shared" si="14"/>
        <v>0</v>
      </c>
      <c r="I29" s="406">
        <f t="shared" si="14"/>
        <v>0</v>
      </c>
      <c r="J29" s="406">
        <f t="shared" si="14"/>
        <v>0</v>
      </c>
      <c r="K29" s="406">
        <f t="shared" si="14"/>
        <v>0</v>
      </c>
      <c r="L29" s="406">
        <f t="shared" si="14"/>
        <v>0</v>
      </c>
      <c r="M29" s="424"/>
      <c r="N29" s="489"/>
      <c r="O29" s="489"/>
      <c r="P29" s="489"/>
      <c r="Q29" s="390"/>
      <c r="R29" s="390"/>
    </row>
    <row r="30" spans="1:18" s="467" customFormat="1" ht="24" customHeight="1">
      <c r="A30" s="475"/>
      <c r="B30" s="490"/>
      <c r="C30" s="490"/>
      <c r="D30" s="465"/>
      <c r="E30" s="465"/>
      <c r="F30" s="465"/>
      <c r="G30" s="544"/>
      <c r="H30" s="544"/>
      <c r="I30" s="1571" t="str">
        <f>'Thong tin'!B8</f>
        <v>Tuyên Quang, ngày 05 tháng 04 năm 2017</v>
      </c>
      <c r="J30" s="1571"/>
      <c r="K30" s="1571"/>
      <c r="L30" s="1571"/>
      <c r="M30" s="478"/>
      <c r="N30" s="478"/>
      <c r="O30" s="478"/>
      <c r="P30" s="478"/>
      <c r="Q30" s="478"/>
      <c r="R30" s="478"/>
    </row>
    <row r="31" spans="1:18" s="467" customFormat="1" ht="21" customHeight="1">
      <c r="A31" s="1519" t="s">
        <v>4</v>
      </c>
      <c r="B31" s="1519"/>
      <c r="C31" s="1519"/>
      <c r="D31" s="1519"/>
      <c r="E31" s="536"/>
      <c r="F31" s="536"/>
      <c r="G31" s="545"/>
      <c r="H31" s="1558" t="str">
        <f>'Thong tin'!B7</f>
        <v>CỤC TRƯỞNG</v>
      </c>
      <c r="I31" s="1558"/>
      <c r="J31" s="1558"/>
      <c r="K31" s="1558"/>
      <c r="L31" s="1558"/>
      <c r="M31" s="478"/>
      <c r="N31" s="478"/>
      <c r="O31" s="478"/>
      <c r="P31" s="478"/>
      <c r="Q31" s="478"/>
      <c r="R31" s="478"/>
    </row>
    <row r="32" spans="1:18" s="467" customFormat="1" ht="15" customHeight="1">
      <c r="A32" s="528"/>
      <c r="B32" s="1573"/>
      <c r="C32" s="1573"/>
      <c r="D32" s="547"/>
      <c r="E32" s="547"/>
      <c r="F32" s="536"/>
      <c r="G32" s="1557"/>
      <c r="H32" s="1557"/>
      <c r="I32" s="1557"/>
      <c r="J32" s="1557"/>
      <c r="K32" s="1557"/>
      <c r="L32" s="1557"/>
      <c r="M32" s="491"/>
      <c r="N32" s="491"/>
      <c r="O32" s="491"/>
      <c r="P32" s="491"/>
      <c r="Q32" s="478"/>
      <c r="R32" s="478"/>
    </row>
    <row r="33" spans="1:18" s="467" customFormat="1" ht="21.75" customHeight="1">
      <c r="A33" s="528"/>
      <c r="B33" s="539"/>
      <c r="C33" s="531"/>
      <c r="D33" s="536"/>
      <c r="E33" s="536"/>
      <c r="F33" s="536"/>
      <c r="G33" s="548"/>
      <c r="H33" s="548"/>
      <c r="I33" s="548"/>
      <c r="J33" s="548"/>
      <c r="K33" s="548"/>
      <c r="L33" s="548"/>
      <c r="M33" s="478"/>
      <c r="N33" s="478"/>
      <c r="O33" s="478"/>
      <c r="P33" s="478"/>
      <c r="Q33" s="478"/>
      <c r="R33" s="478"/>
    </row>
    <row r="34" spans="1:18" s="435" customFormat="1" ht="0.75" customHeight="1" hidden="1">
      <c r="A34" s="549"/>
      <c r="B34" s="1559"/>
      <c r="C34" s="1559"/>
      <c r="D34" s="530"/>
      <c r="E34" s="530"/>
      <c r="F34" s="530"/>
      <c r="G34" s="530"/>
      <c r="H34" s="530"/>
      <c r="I34" s="530"/>
      <c r="J34" s="530"/>
      <c r="K34" s="530"/>
      <c r="L34" s="530"/>
      <c r="M34" s="448"/>
      <c r="N34" s="434"/>
      <c r="O34" s="434"/>
      <c r="P34" s="434"/>
      <c r="Q34" s="434"/>
      <c r="R34" s="434"/>
    </row>
    <row r="35" spans="1:18" s="435" customFormat="1" ht="15" hidden="1">
      <c r="A35" s="550"/>
      <c r="B35" s="550"/>
      <c r="C35" s="550"/>
      <c r="D35" s="550"/>
      <c r="E35" s="550"/>
      <c r="F35" s="550"/>
      <c r="G35" s="550"/>
      <c r="H35" s="550"/>
      <c r="I35" s="550"/>
      <c r="J35" s="550"/>
      <c r="K35" s="550"/>
      <c r="L35" s="550"/>
      <c r="M35" s="434"/>
      <c r="N35" s="434"/>
      <c r="O35" s="434"/>
      <c r="P35" s="434"/>
      <c r="Q35" s="434"/>
      <c r="R35" s="434"/>
    </row>
    <row r="36" spans="1:18" s="435" customFormat="1" ht="15" hidden="1">
      <c r="A36" s="550"/>
      <c r="B36" s="550"/>
      <c r="C36" s="550"/>
      <c r="D36" s="550"/>
      <c r="E36" s="550"/>
      <c r="F36" s="550"/>
      <c r="G36" s="550"/>
      <c r="H36" s="550"/>
      <c r="I36" s="550"/>
      <c r="J36" s="550"/>
      <c r="K36" s="550"/>
      <c r="L36" s="550"/>
      <c r="M36" s="434"/>
      <c r="N36" s="434"/>
      <c r="O36" s="434"/>
      <c r="P36" s="434"/>
      <c r="Q36" s="434"/>
      <c r="R36" s="434"/>
    </row>
    <row r="37" spans="1:12" ht="15" hidden="1">
      <c r="A37" s="550"/>
      <c r="B37" s="550"/>
      <c r="C37" s="550"/>
      <c r="D37" s="550"/>
      <c r="E37" s="550"/>
      <c r="F37" s="550"/>
      <c r="G37" s="550"/>
      <c r="H37" s="550"/>
      <c r="I37" s="550"/>
      <c r="J37" s="550"/>
      <c r="K37" s="550"/>
      <c r="L37" s="550"/>
    </row>
    <row r="38" spans="1:12" ht="15" hidden="1">
      <c r="A38" s="550"/>
      <c r="B38" s="550"/>
      <c r="C38" s="550"/>
      <c r="D38" s="550"/>
      <c r="E38" s="550"/>
      <c r="F38" s="550"/>
      <c r="G38" s="550"/>
      <c r="H38" s="550"/>
      <c r="I38" s="550"/>
      <c r="J38" s="550"/>
      <c r="K38" s="550"/>
      <c r="L38" s="550"/>
    </row>
    <row r="39" spans="1:12" ht="18.75" hidden="1">
      <c r="A39" s="1519" t="str">
        <f>'Thong tin'!B5</f>
        <v>Duy Thị Thúy</v>
      </c>
      <c r="B39" s="1519"/>
      <c r="C39" s="1519"/>
      <c r="D39" s="1519"/>
      <c r="E39" s="550"/>
      <c r="F39" s="550"/>
      <c r="G39" s="550"/>
      <c r="H39" s="1519" t="str">
        <f>'Thong tin'!B6</f>
        <v>Nguyễn Tuyên </v>
      </c>
      <c r="I39" s="1519"/>
      <c r="J39" s="1519"/>
      <c r="K39" s="1519"/>
      <c r="L39" s="1519"/>
    </row>
    <row r="40" ht="15" hidden="1"/>
    <row r="41" ht="15" hidden="1"/>
    <row r="42" ht="17.25" customHeight="1" hidden="1"/>
    <row r="43" ht="15" hidden="1"/>
    <row r="44" ht="15" hidden="1"/>
    <row r="45" ht="15" hidden="1">
      <c r="B45" s="909" t="s">
        <v>748</v>
      </c>
    </row>
    <row r="46" ht="15" hidden="1"/>
    <row r="47" spans="1:12" ht="15" hidden="1">
      <c r="A47" s="1187" t="s">
        <v>70</v>
      </c>
      <c r="B47" s="1188"/>
      <c r="C47" s="1556" t="s">
        <v>37</v>
      </c>
      <c r="D47" s="1539" t="s">
        <v>337</v>
      </c>
      <c r="E47" s="1539"/>
      <c r="F47" s="1539"/>
      <c r="G47" s="1539"/>
      <c r="H47" s="1539"/>
      <c r="I47" s="1539"/>
      <c r="J47" s="1539"/>
      <c r="K47" s="1539"/>
      <c r="L47" s="1539"/>
    </row>
    <row r="48" spans="1:12" ht="15" hidden="1">
      <c r="A48" s="1189"/>
      <c r="B48" s="1190"/>
      <c r="C48" s="1556"/>
      <c r="D48" s="1540" t="s">
        <v>205</v>
      </c>
      <c r="E48" s="1541"/>
      <c r="F48" s="1541"/>
      <c r="G48" s="1541"/>
      <c r="H48" s="1541"/>
      <c r="I48" s="1541"/>
      <c r="J48" s="1542"/>
      <c r="K48" s="1543" t="s">
        <v>206</v>
      </c>
      <c r="L48" s="1543" t="s">
        <v>207</v>
      </c>
    </row>
    <row r="49" spans="1:12" ht="15" hidden="1">
      <c r="A49" s="1189"/>
      <c r="B49" s="1190"/>
      <c r="C49" s="1556"/>
      <c r="D49" s="1548" t="s">
        <v>36</v>
      </c>
      <c r="E49" s="1549" t="s">
        <v>7</v>
      </c>
      <c r="F49" s="1550"/>
      <c r="G49" s="1550"/>
      <c r="H49" s="1550"/>
      <c r="I49" s="1550"/>
      <c r="J49" s="1551"/>
      <c r="K49" s="1544"/>
      <c r="L49" s="1546"/>
    </row>
    <row r="50" spans="1:12" ht="15" hidden="1">
      <c r="A50" s="1554"/>
      <c r="B50" s="1555"/>
      <c r="C50" s="1556"/>
      <c r="D50" s="1548"/>
      <c r="E50" s="551" t="s">
        <v>208</v>
      </c>
      <c r="F50" s="551" t="s">
        <v>209</v>
      </c>
      <c r="G50" s="551" t="s">
        <v>210</v>
      </c>
      <c r="H50" s="551" t="s">
        <v>211</v>
      </c>
      <c r="I50" s="551" t="s">
        <v>344</v>
      </c>
      <c r="J50" s="551" t="s">
        <v>212</v>
      </c>
      <c r="K50" s="1545"/>
      <c r="L50" s="1547"/>
    </row>
    <row r="51" spans="1:12" ht="15" hidden="1">
      <c r="A51" s="1552" t="s">
        <v>6</v>
      </c>
      <c r="B51" s="1553"/>
      <c r="C51" s="481">
        <v>1</v>
      </c>
      <c r="D51" s="482">
        <v>2</v>
      </c>
      <c r="E51" s="481">
        <v>3</v>
      </c>
      <c r="F51" s="482">
        <v>4</v>
      </c>
      <c r="G51" s="481">
        <v>5</v>
      </c>
      <c r="H51" s="482">
        <v>6</v>
      </c>
      <c r="I51" s="481">
        <v>7</v>
      </c>
      <c r="J51" s="482">
        <v>8</v>
      </c>
      <c r="K51" s="481">
        <v>9</v>
      </c>
      <c r="L51" s="482">
        <v>10</v>
      </c>
    </row>
    <row r="52" spans="1:12" ht="15" hidden="1">
      <c r="A52" s="506" t="s">
        <v>0</v>
      </c>
      <c r="B52" s="427" t="s">
        <v>130</v>
      </c>
      <c r="C52" s="888">
        <f>D52+K52+L52</f>
        <v>11549080</v>
      </c>
      <c r="D52" s="888">
        <f>E52+F52+G52+H52+I52+J52</f>
        <v>2575697</v>
      </c>
      <c r="E52" s="888">
        <f aca="true" t="shared" si="15" ref="E52:L52">E53+E54</f>
        <v>917416</v>
      </c>
      <c r="F52" s="888">
        <f t="shared" si="15"/>
        <v>0</v>
      </c>
      <c r="G52" s="888">
        <f t="shared" si="15"/>
        <v>297999</v>
      </c>
      <c r="H52" s="888">
        <f t="shared" si="15"/>
        <v>147355</v>
      </c>
      <c r="I52" s="888">
        <f t="shared" si="15"/>
        <v>1115805</v>
      </c>
      <c r="J52" s="888">
        <f t="shared" si="15"/>
        <v>97122</v>
      </c>
      <c r="K52" s="888">
        <f t="shared" si="15"/>
        <v>63402</v>
      </c>
      <c r="L52" s="888">
        <f t="shared" si="15"/>
        <v>8909981</v>
      </c>
    </row>
    <row r="53" spans="1:12" ht="15" hidden="1">
      <c r="A53" s="507">
        <v>1</v>
      </c>
      <c r="B53" s="429" t="s">
        <v>131</v>
      </c>
      <c r="C53" s="887">
        <f>SUM(D53,K53,L53)</f>
        <v>5780766</v>
      </c>
      <c r="D53" s="887">
        <f>SUM(E53:J53)</f>
        <v>1915744</v>
      </c>
      <c r="E53" s="824">
        <v>635557</v>
      </c>
      <c r="F53" s="824">
        <v>0</v>
      </c>
      <c r="G53" s="824">
        <v>190025</v>
      </c>
      <c r="H53" s="824">
        <v>0</v>
      </c>
      <c r="I53" s="824">
        <v>1090162</v>
      </c>
      <c r="J53" s="824">
        <v>0</v>
      </c>
      <c r="K53" s="824">
        <v>0</v>
      </c>
      <c r="L53" s="824">
        <v>3865022</v>
      </c>
    </row>
    <row r="54" spans="1:12" ht="15" hidden="1">
      <c r="A54" s="507">
        <v>2</v>
      </c>
      <c r="B54" s="429" t="s">
        <v>132</v>
      </c>
      <c r="C54" s="887">
        <f>SUM(D54,K54,L54)</f>
        <v>5768314</v>
      </c>
      <c r="D54" s="887">
        <f>SUM(E54:J54)</f>
        <v>659953</v>
      </c>
      <c r="E54" s="824">
        <v>281859</v>
      </c>
      <c r="F54" s="824">
        <v>0</v>
      </c>
      <c r="G54" s="824">
        <v>107974</v>
      </c>
      <c r="H54" s="824">
        <v>147355</v>
      </c>
      <c r="I54" s="824">
        <v>25643</v>
      </c>
      <c r="J54" s="824">
        <v>97122</v>
      </c>
      <c r="K54" s="824">
        <v>63402</v>
      </c>
      <c r="L54" s="824">
        <v>5044959</v>
      </c>
    </row>
    <row r="55" spans="1:12" ht="15" hidden="1">
      <c r="A55" s="508" t="s">
        <v>1</v>
      </c>
      <c r="B55" s="394" t="s">
        <v>133</v>
      </c>
      <c r="C55" s="887">
        <f>SUM(D55,K55,L55)</f>
        <v>970985</v>
      </c>
      <c r="D55" s="887">
        <f>SUM(E55:J55)</f>
        <v>80551</v>
      </c>
      <c r="E55" s="824">
        <v>71051</v>
      </c>
      <c r="F55" s="824">
        <v>0</v>
      </c>
      <c r="G55" s="824">
        <v>4000</v>
      </c>
      <c r="H55" s="824">
        <v>0</v>
      </c>
      <c r="I55" s="824">
        <v>5500</v>
      </c>
      <c r="J55" s="824">
        <v>0</v>
      </c>
      <c r="K55" s="824">
        <v>34751</v>
      </c>
      <c r="L55" s="824">
        <v>855683</v>
      </c>
    </row>
    <row r="56" spans="1:12" ht="15" hidden="1">
      <c r="A56" s="508" t="s">
        <v>9</v>
      </c>
      <c r="B56" s="394" t="s">
        <v>134</v>
      </c>
      <c r="C56" s="887">
        <f>SUM(D56,K56,L56)</f>
        <v>0</v>
      </c>
      <c r="D56" s="887">
        <f>SUM(E56:J56)</f>
        <v>0</v>
      </c>
      <c r="E56" s="827"/>
      <c r="F56" s="827"/>
      <c r="G56" s="827"/>
      <c r="H56" s="827"/>
      <c r="I56" s="827"/>
      <c r="J56" s="827"/>
      <c r="K56" s="827"/>
      <c r="L56" s="827"/>
    </row>
    <row r="57" spans="1:12" ht="15" hidden="1">
      <c r="A57" s="508" t="s">
        <v>135</v>
      </c>
      <c r="B57" s="394" t="s">
        <v>136</v>
      </c>
      <c r="C57" s="889">
        <f>SUM(D57,K57,L57)</f>
        <v>10578095</v>
      </c>
      <c r="D57" s="889">
        <f>SUM(E57:J57)</f>
        <v>2495146</v>
      </c>
      <c r="E57" s="890">
        <f aca="true" t="shared" si="16" ref="E57:L57">E52-SUM(E55,E56)</f>
        <v>846365</v>
      </c>
      <c r="F57" s="890">
        <f t="shared" si="16"/>
        <v>0</v>
      </c>
      <c r="G57" s="890">
        <f t="shared" si="16"/>
        <v>293999</v>
      </c>
      <c r="H57" s="891">
        <f t="shared" si="16"/>
        <v>147355</v>
      </c>
      <c r="I57" s="890">
        <f t="shared" si="16"/>
        <v>1110305</v>
      </c>
      <c r="J57" s="890">
        <f t="shared" si="16"/>
        <v>97122</v>
      </c>
      <c r="K57" s="890">
        <f t="shared" si="16"/>
        <v>28651</v>
      </c>
      <c r="L57" s="890">
        <f t="shared" si="16"/>
        <v>8054298</v>
      </c>
    </row>
    <row r="58" spans="1:12" ht="15" hidden="1">
      <c r="A58" s="508" t="s">
        <v>51</v>
      </c>
      <c r="B58" s="430" t="s">
        <v>137</v>
      </c>
      <c r="C58" s="889">
        <f>C59+C60+C61+C62+C63+C64+C65+C66</f>
        <v>7956087</v>
      </c>
      <c r="D58" s="889">
        <f aca="true" t="shared" si="17" ref="D58:L58">D59+D60+D61+D62+D63+D64+D65+D66</f>
        <v>508533</v>
      </c>
      <c r="E58" s="889">
        <f t="shared" si="17"/>
        <v>149875</v>
      </c>
      <c r="F58" s="889">
        <f t="shared" si="17"/>
        <v>0</v>
      </c>
      <c r="G58" s="889">
        <f t="shared" si="17"/>
        <v>95518</v>
      </c>
      <c r="H58" s="889">
        <f t="shared" si="17"/>
        <v>147355</v>
      </c>
      <c r="I58" s="889">
        <f t="shared" si="17"/>
        <v>18663</v>
      </c>
      <c r="J58" s="889">
        <f t="shared" si="17"/>
        <v>97122</v>
      </c>
      <c r="K58" s="889">
        <f t="shared" si="17"/>
        <v>28651</v>
      </c>
      <c r="L58" s="889">
        <f t="shared" si="17"/>
        <v>7418903</v>
      </c>
    </row>
    <row r="59" spans="1:12" ht="15" hidden="1">
      <c r="A59" s="507" t="s">
        <v>53</v>
      </c>
      <c r="B59" s="429" t="s">
        <v>138</v>
      </c>
      <c r="C59" s="899">
        <f>SUM(D59,K59,L59)</f>
        <v>978453</v>
      </c>
      <c r="D59" s="899">
        <f>SUM(E59:J59)</f>
        <v>378395</v>
      </c>
      <c r="E59" s="824">
        <v>46634</v>
      </c>
      <c r="F59" s="824">
        <v>0</v>
      </c>
      <c r="G59" s="824">
        <v>74800</v>
      </c>
      <c r="H59" s="824">
        <v>145955</v>
      </c>
      <c r="I59" s="824">
        <v>15543</v>
      </c>
      <c r="J59" s="824">
        <v>95463</v>
      </c>
      <c r="K59" s="824">
        <v>8000</v>
      </c>
      <c r="L59" s="824">
        <v>592058</v>
      </c>
    </row>
    <row r="60" spans="1:12" ht="15" hidden="1">
      <c r="A60" s="507" t="s">
        <v>54</v>
      </c>
      <c r="B60" s="429" t="s">
        <v>139</v>
      </c>
      <c r="C60" s="887">
        <f>SUM(D60,K60,L60)</f>
        <v>0</v>
      </c>
      <c r="D60" s="887">
        <f>SUM(E60:J60)</f>
        <v>0</v>
      </c>
      <c r="E60" s="824">
        <v>0</v>
      </c>
      <c r="F60" s="824">
        <v>0</v>
      </c>
      <c r="G60" s="824">
        <v>0</v>
      </c>
      <c r="H60" s="824">
        <v>0</v>
      </c>
      <c r="I60" s="824">
        <v>0</v>
      </c>
      <c r="J60" s="824">
        <v>0</v>
      </c>
      <c r="K60" s="824">
        <v>0</v>
      </c>
      <c r="L60" s="824">
        <v>0</v>
      </c>
    </row>
    <row r="61" spans="1:12" ht="15" hidden="1">
      <c r="A61" s="507" t="s">
        <v>140</v>
      </c>
      <c r="B61" s="429" t="s">
        <v>201</v>
      </c>
      <c r="C61" s="887">
        <f>SUM(D61,K61,L61)</f>
        <v>5714</v>
      </c>
      <c r="D61" s="887">
        <f>SUM(E61:J61)</f>
        <v>5714</v>
      </c>
      <c r="E61" s="824">
        <v>2596</v>
      </c>
      <c r="F61" s="824">
        <v>0</v>
      </c>
      <c r="G61" s="824">
        <v>3118</v>
      </c>
      <c r="H61" s="824">
        <v>0</v>
      </c>
      <c r="I61" s="824">
        <v>0</v>
      </c>
      <c r="J61" s="824">
        <v>0</v>
      </c>
      <c r="K61" s="824">
        <v>0</v>
      </c>
      <c r="L61" s="824">
        <v>0</v>
      </c>
    </row>
    <row r="62" spans="1:12" ht="15" hidden="1">
      <c r="A62" s="507" t="s">
        <v>142</v>
      </c>
      <c r="B62" s="429" t="s">
        <v>141</v>
      </c>
      <c r="C62" s="899">
        <f>SUM(D62,K62,L62)</f>
        <v>6971920</v>
      </c>
      <c r="D62" s="899">
        <f>SUM(E62:J62)</f>
        <v>124424</v>
      </c>
      <c r="E62" s="824">
        <v>100645</v>
      </c>
      <c r="F62" s="824">
        <v>0</v>
      </c>
      <c r="G62" s="824">
        <v>17600</v>
      </c>
      <c r="H62" s="824">
        <v>1400</v>
      </c>
      <c r="I62" s="824">
        <v>3120</v>
      </c>
      <c r="J62" s="824">
        <v>1659</v>
      </c>
      <c r="K62" s="824">
        <v>20651</v>
      </c>
      <c r="L62" s="824">
        <v>6826845</v>
      </c>
    </row>
    <row r="63" spans="1:12" ht="15" hidden="1">
      <c r="A63" s="507" t="s">
        <v>144</v>
      </c>
      <c r="B63" s="429" t="s">
        <v>143</v>
      </c>
      <c r="C63" s="887">
        <f>D63+K63+L63</f>
        <v>0</v>
      </c>
      <c r="D63" s="887">
        <f>E63+F63+G63+H63+I63+J63</f>
        <v>0</v>
      </c>
      <c r="E63" s="824">
        <v>0</v>
      </c>
      <c r="F63" s="824">
        <v>0</v>
      </c>
      <c r="G63" s="824">
        <v>0</v>
      </c>
      <c r="H63" s="824">
        <v>0</v>
      </c>
      <c r="I63" s="824">
        <v>0</v>
      </c>
      <c r="J63" s="824">
        <v>0</v>
      </c>
      <c r="K63" s="824">
        <v>0</v>
      </c>
      <c r="L63" s="824">
        <v>0</v>
      </c>
    </row>
    <row r="64" spans="1:12" ht="15" hidden="1">
      <c r="A64" s="507" t="s">
        <v>146</v>
      </c>
      <c r="B64" s="429" t="s">
        <v>145</v>
      </c>
      <c r="C64" s="887">
        <f>SUM(D64,K64,L64)</f>
        <v>0</v>
      </c>
      <c r="D64" s="887">
        <f>SUM(E64:J64)</f>
        <v>0</v>
      </c>
      <c r="E64" s="825"/>
      <c r="F64" s="825"/>
      <c r="G64" s="825"/>
      <c r="H64" s="825"/>
      <c r="I64" s="825"/>
      <c r="J64" s="825"/>
      <c r="K64" s="825"/>
      <c r="L64" s="825"/>
    </row>
    <row r="65" spans="1:12" ht="25.5" hidden="1">
      <c r="A65" s="507" t="s">
        <v>148</v>
      </c>
      <c r="B65" s="431" t="s">
        <v>147</v>
      </c>
      <c r="C65" s="887">
        <f>SUM(D65,K65,L65)</f>
        <v>0</v>
      </c>
      <c r="D65" s="887">
        <f>SUM(E65:J65)</f>
        <v>0</v>
      </c>
      <c r="E65" s="825"/>
      <c r="F65" s="825"/>
      <c r="G65" s="825"/>
      <c r="H65" s="825"/>
      <c r="I65" s="825"/>
      <c r="J65" s="825"/>
      <c r="K65" s="825"/>
      <c r="L65" s="825"/>
    </row>
    <row r="66" spans="1:12" ht="15" hidden="1">
      <c r="A66" s="507" t="s">
        <v>185</v>
      </c>
      <c r="B66" s="429" t="s">
        <v>149</v>
      </c>
      <c r="C66" s="887">
        <f>SUM(D66,K66,L66)</f>
        <v>0</v>
      </c>
      <c r="D66" s="887">
        <f>SUM(E66:J66)</f>
        <v>0</v>
      </c>
      <c r="E66" s="826"/>
      <c r="F66" s="826"/>
      <c r="G66" s="826"/>
      <c r="H66" s="826"/>
      <c r="I66" s="826"/>
      <c r="J66" s="826"/>
      <c r="K66" s="826"/>
      <c r="L66" s="826"/>
    </row>
    <row r="67" spans="1:12" ht="15" hidden="1">
      <c r="A67" s="508" t="s">
        <v>52</v>
      </c>
      <c r="B67" s="394" t="s">
        <v>150</v>
      </c>
      <c r="C67" s="889">
        <f>C52-C55-C58</f>
        <v>2622008</v>
      </c>
      <c r="D67" s="889">
        <f>SUM(E67:J67)</f>
        <v>1986613</v>
      </c>
      <c r="E67" s="889">
        <f>E57-E58</f>
        <v>696490</v>
      </c>
      <c r="F67" s="889">
        <f aca="true" t="shared" si="18" ref="F67:K67">F57-F58</f>
        <v>0</v>
      </c>
      <c r="G67" s="889">
        <f t="shared" si="18"/>
        <v>198481</v>
      </c>
      <c r="H67" s="889">
        <f t="shared" si="18"/>
        <v>0</v>
      </c>
      <c r="I67" s="889">
        <f t="shared" si="18"/>
        <v>1091642</v>
      </c>
      <c r="J67" s="889">
        <f t="shared" si="18"/>
        <v>0</v>
      </c>
      <c r="K67" s="889">
        <f t="shared" si="18"/>
        <v>0</v>
      </c>
      <c r="L67" s="889">
        <f>L57-L58</f>
        <v>635395</v>
      </c>
    </row>
    <row r="68" spans="1:12" ht="25.5" hidden="1">
      <c r="A68" s="534" t="s">
        <v>540</v>
      </c>
      <c r="B68" s="488" t="s">
        <v>213</v>
      </c>
      <c r="C68" s="532">
        <f>(C59+C60+C61)/C58</f>
        <v>0.12369987909885852</v>
      </c>
      <c r="D68" s="532">
        <f aca="true" t="shared" si="19" ref="D68:L68">(D59+D60+D61)/D58</f>
        <v>0.755327579527779</v>
      </c>
      <c r="E68" s="533">
        <f t="shared" si="19"/>
        <v>0.3284737281067556</v>
      </c>
      <c r="F68" s="533" t="e">
        <f t="shared" si="19"/>
        <v>#DIV/0!</v>
      </c>
      <c r="G68" s="533">
        <f t="shared" si="19"/>
        <v>0.8157415356267929</v>
      </c>
      <c r="H68" s="533">
        <f t="shared" si="19"/>
        <v>0.9904991347426283</v>
      </c>
      <c r="I68" s="533">
        <f t="shared" si="19"/>
        <v>0.832824304774152</v>
      </c>
      <c r="J68" s="533">
        <f t="shared" si="19"/>
        <v>0.9829183913016618</v>
      </c>
      <c r="K68" s="533">
        <f t="shared" si="19"/>
        <v>0.2792223657114935</v>
      </c>
      <c r="L68" s="533">
        <f t="shared" si="19"/>
        <v>0.07980398180162215</v>
      </c>
    </row>
    <row r="69" ht="15" hidden="1"/>
    <row r="70" ht="15" hidden="1"/>
    <row r="71" ht="15" hidden="1">
      <c r="B71" s="477" t="s">
        <v>758</v>
      </c>
    </row>
    <row r="72" spans="1:12" ht="15" hidden="1">
      <c r="A72" s="1187" t="s">
        <v>70</v>
      </c>
      <c r="B72" s="1188"/>
      <c r="C72" s="1556" t="s">
        <v>37</v>
      </c>
      <c r="D72" s="1539" t="s">
        <v>337</v>
      </c>
      <c r="E72" s="1539"/>
      <c r="F72" s="1539"/>
      <c r="G72" s="1539"/>
      <c r="H72" s="1539"/>
      <c r="I72" s="1539"/>
      <c r="J72" s="1539"/>
      <c r="K72" s="1539"/>
      <c r="L72" s="1539"/>
    </row>
    <row r="73" spans="1:12" ht="0.75" customHeight="1" hidden="1">
      <c r="A73" s="1189"/>
      <c r="B73" s="1190"/>
      <c r="C73" s="1556"/>
      <c r="D73" s="1540" t="s">
        <v>205</v>
      </c>
      <c r="E73" s="1541"/>
      <c r="F73" s="1541"/>
      <c r="G73" s="1541"/>
      <c r="H73" s="1541"/>
      <c r="I73" s="1541"/>
      <c r="J73" s="1542"/>
      <c r="K73" s="1543" t="s">
        <v>206</v>
      </c>
      <c r="L73" s="1543" t="s">
        <v>207</v>
      </c>
    </row>
    <row r="74" spans="1:12" ht="15" hidden="1">
      <c r="A74" s="1189"/>
      <c r="B74" s="1190"/>
      <c r="C74" s="1556"/>
      <c r="D74" s="1548" t="s">
        <v>36</v>
      </c>
      <c r="E74" s="1549" t="s">
        <v>7</v>
      </c>
      <c r="F74" s="1550"/>
      <c r="G74" s="1550"/>
      <c r="H74" s="1550"/>
      <c r="I74" s="1550"/>
      <c r="J74" s="1551"/>
      <c r="K74" s="1544"/>
      <c r="L74" s="1546"/>
    </row>
    <row r="75" spans="1:12" ht="15" hidden="1">
      <c r="A75" s="1554"/>
      <c r="B75" s="1555"/>
      <c r="C75" s="1556"/>
      <c r="D75" s="1548"/>
      <c r="E75" s="551" t="s">
        <v>208</v>
      </c>
      <c r="F75" s="551" t="s">
        <v>209</v>
      </c>
      <c r="G75" s="551" t="s">
        <v>210</v>
      </c>
      <c r="H75" s="551" t="s">
        <v>211</v>
      </c>
      <c r="I75" s="551" t="s">
        <v>344</v>
      </c>
      <c r="J75" s="551" t="s">
        <v>212</v>
      </c>
      <c r="K75" s="1545"/>
      <c r="L75" s="1547"/>
    </row>
    <row r="76" spans="1:12" ht="15" hidden="1">
      <c r="A76" s="1552" t="s">
        <v>6</v>
      </c>
      <c r="B76" s="1553"/>
      <c r="C76" s="481">
        <v>1</v>
      </c>
      <c r="D76" s="482">
        <v>2</v>
      </c>
      <c r="E76" s="481">
        <v>3</v>
      </c>
      <c r="F76" s="482">
        <v>4</v>
      </c>
      <c r="G76" s="481">
        <v>5</v>
      </c>
      <c r="H76" s="482">
        <v>6</v>
      </c>
      <c r="I76" s="481">
        <v>7</v>
      </c>
      <c r="J76" s="482">
        <v>8</v>
      </c>
      <c r="K76" s="481">
        <v>9</v>
      </c>
      <c r="L76" s="482">
        <v>10</v>
      </c>
    </row>
    <row r="77" spans="1:12" ht="15" hidden="1">
      <c r="A77" s="506" t="s">
        <v>0</v>
      </c>
      <c r="B77" s="427" t="s">
        <v>130</v>
      </c>
      <c r="C77" s="888">
        <f>D77+K77+L77</f>
        <v>44043344</v>
      </c>
      <c r="D77" s="888">
        <f>E77+F77+G77+H77+I77+J77</f>
        <v>2311477</v>
      </c>
      <c r="E77" s="888">
        <f aca="true" t="shared" si="20" ref="E77:L77">E78+E79</f>
        <v>1332185</v>
      </c>
      <c r="F77" s="888">
        <f t="shared" si="20"/>
        <v>0</v>
      </c>
      <c r="G77" s="888">
        <f t="shared" si="20"/>
        <v>671992</v>
      </c>
      <c r="H77" s="888">
        <f t="shared" si="20"/>
        <v>20270</v>
      </c>
      <c r="I77" s="888">
        <f t="shared" si="20"/>
        <v>78222</v>
      </c>
      <c r="J77" s="888">
        <f t="shared" si="20"/>
        <v>208808</v>
      </c>
      <c r="K77" s="888">
        <f t="shared" si="20"/>
        <v>259352</v>
      </c>
      <c r="L77" s="888">
        <f t="shared" si="20"/>
        <v>41472515</v>
      </c>
    </row>
    <row r="78" spans="1:12" ht="15" hidden="1">
      <c r="A78" s="507">
        <v>1</v>
      </c>
      <c r="B78" s="429" t="s">
        <v>131</v>
      </c>
      <c r="C78" s="887">
        <f>SUM(D78,K78,L78)</f>
        <v>33507345</v>
      </c>
      <c r="D78" s="887">
        <f>SUM(E78:J78)</f>
        <v>1740057</v>
      </c>
      <c r="E78" s="898">
        <v>1094472</v>
      </c>
      <c r="F78" s="898">
        <v>0</v>
      </c>
      <c r="G78" s="898">
        <v>567830</v>
      </c>
      <c r="H78" s="898">
        <v>0</v>
      </c>
      <c r="I78" s="898">
        <v>77355</v>
      </c>
      <c r="J78" s="898">
        <v>400</v>
      </c>
      <c r="K78" s="898">
        <v>219710</v>
      </c>
      <c r="L78" s="898">
        <v>31547578</v>
      </c>
    </row>
    <row r="79" spans="1:12" ht="15" hidden="1">
      <c r="A79" s="507">
        <v>2</v>
      </c>
      <c r="B79" s="429" t="s">
        <v>132</v>
      </c>
      <c r="C79" s="887">
        <f>SUM(D79,K79,L79)</f>
        <v>10535999</v>
      </c>
      <c r="D79" s="887">
        <f>SUM(E79:J79)</f>
        <v>571420</v>
      </c>
      <c r="E79" s="898">
        <v>237713</v>
      </c>
      <c r="F79" s="898">
        <v>0</v>
      </c>
      <c r="G79" s="898">
        <v>104162</v>
      </c>
      <c r="H79" s="898">
        <v>20270</v>
      </c>
      <c r="I79" s="898">
        <v>867</v>
      </c>
      <c r="J79" s="898">
        <v>208408</v>
      </c>
      <c r="K79" s="898">
        <v>39642</v>
      </c>
      <c r="L79" s="898">
        <v>9924937</v>
      </c>
    </row>
    <row r="80" spans="1:12" ht="15" hidden="1">
      <c r="A80" s="508" t="s">
        <v>1</v>
      </c>
      <c r="B80" s="394" t="s">
        <v>133</v>
      </c>
      <c r="C80" s="887">
        <f>SUM(D80,K80,L80)</f>
        <v>392006</v>
      </c>
      <c r="D80" s="887">
        <f>SUM(E80:J80)</f>
        <v>12935</v>
      </c>
      <c r="E80" s="898">
        <v>8500</v>
      </c>
      <c r="F80" s="898">
        <v>0</v>
      </c>
      <c r="G80" s="898">
        <v>4435</v>
      </c>
      <c r="H80" s="898">
        <v>0</v>
      </c>
      <c r="I80" s="898">
        <v>0</v>
      </c>
      <c r="J80" s="898">
        <v>0</v>
      </c>
      <c r="K80" s="898">
        <v>0</v>
      </c>
      <c r="L80" s="898">
        <v>379071</v>
      </c>
    </row>
    <row r="81" spans="1:12" ht="15" hidden="1">
      <c r="A81" s="508" t="s">
        <v>9</v>
      </c>
      <c r="B81" s="394" t="s">
        <v>134</v>
      </c>
      <c r="C81" s="887">
        <f>SUM(D81,K81,L81)</f>
        <v>0</v>
      </c>
      <c r="D81" s="887">
        <f>SUM(E81:J81)</f>
        <v>0</v>
      </c>
      <c r="E81" s="827"/>
      <c r="F81" s="827"/>
      <c r="G81" s="827"/>
      <c r="H81" s="827"/>
      <c r="I81" s="827"/>
      <c r="J81" s="827"/>
      <c r="K81" s="827"/>
      <c r="L81" s="827"/>
    </row>
    <row r="82" spans="1:12" ht="15" hidden="1">
      <c r="A82" s="508" t="s">
        <v>135</v>
      </c>
      <c r="B82" s="394" t="s">
        <v>136</v>
      </c>
      <c r="C82" s="889">
        <f>SUM(D82,K82,L82)</f>
        <v>43651338</v>
      </c>
      <c r="D82" s="889">
        <f>SUM(E82:J82)</f>
        <v>2298542</v>
      </c>
      <c r="E82" s="890">
        <f aca="true" t="shared" si="21" ref="E82:L82">E77-SUM(E80,E81)</f>
        <v>1323685</v>
      </c>
      <c r="F82" s="890">
        <f t="shared" si="21"/>
        <v>0</v>
      </c>
      <c r="G82" s="890">
        <f t="shared" si="21"/>
        <v>667557</v>
      </c>
      <c r="H82" s="891">
        <f t="shared" si="21"/>
        <v>20270</v>
      </c>
      <c r="I82" s="890">
        <f t="shared" si="21"/>
        <v>78222</v>
      </c>
      <c r="J82" s="890">
        <f t="shared" si="21"/>
        <v>208808</v>
      </c>
      <c r="K82" s="890">
        <f t="shared" si="21"/>
        <v>259352</v>
      </c>
      <c r="L82" s="890">
        <f t="shared" si="21"/>
        <v>41093444</v>
      </c>
    </row>
    <row r="83" spans="1:12" ht="15" hidden="1">
      <c r="A83" s="508" t="s">
        <v>51</v>
      </c>
      <c r="B83" s="430" t="s">
        <v>137</v>
      </c>
      <c r="C83" s="889">
        <f>C84+C85+C86+C87+C88+C89+C90+C91</f>
        <v>25434657</v>
      </c>
      <c r="D83" s="889">
        <f aca="true" t="shared" si="22" ref="D83:L83">D84+D85+D86+D87+D88+D89+D90+D91</f>
        <v>1067819</v>
      </c>
      <c r="E83" s="889">
        <f t="shared" si="22"/>
        <v>726075</v>
      </c>
      <c r="F83" s="889">
        <f t="shared" si="22"/>
        <v>0</v>
      </c>
      <c r="G83" s="889">
        <f t="shared" si="22"/>
        <v>111399</v>
      </c>
      <c r="H83" s="889">
        <f t="shared" si="22"/>
        <v>20270</v>
      </c>
      <c r="I83" s="889">
        <f t="shared" si="22"/>
        <v>1267</v>
      </c>
      <c r="J83" s="889">
        <f t="shared" si="22"/>
        <v>208808</v>
      </c>
      <c r="K83" s="889">
        <f t="shared" si="22"/>
        <v>201881</v>
      </c>
      <c r="L83" s="889">
        <f t="shared" si="22"/>
        <v>24164957</v>
      </c>
    </row>
    <row r="84" spans="1:12" ht="15" hidden="1">
      <c r="A84" s="507" t="s">
        <v>53</v>
      </c>
      <c r="B84" s="429" t="s">
        <v>138</v>
      </c>
      <c r="C84" s="899">
        <f>SUM(D84,K84,L84)</f>
        <v>1438309</v>
      </c>
      <c r="D84" s="899">
        <f>SUM(E84:J84)</f>
        <v>406342</v>
      </c>
      <c r="E84" s="898">
        <v>118564</v>
      </c>
      <c r="F84" s="898">
        <v>0</v>
      </c>
      <c r="G84" s="898">
        <v>87334</v>
      </c>
      <c r="H84" s="898">
        <v>20270</v>
      </c>
      <c r="I84" s="898">
        <v>1267</v>
      </c>
      <c r="J84" s="898">
        <v>178907</v>
      </c>
      <c r="K84" s="898">
        <v>39298</v>
      </c>
      <c r="L84" s="898">
        <v>992669</v>
      </c>
    </row>
    <row r="85" spans="1:12" ht="15" hidden="1">
      <c r="A85" s="507" t="s">
        <v>54</v>
      </c>
      <c r="B85" s="429" t="s">
        <v>139</v>
      </c>
      <c r="C85" s="887">
        <f>SUM(D85,K85,L85)</f>
        <v>1863332</v>
      </c>
      <c r="D85" s="887">
        <f>SUM(E85:J85)</f>
        <v>3000</v>
      </c>
      <c r="E85" s="898">
        <v>0</v>
      </c>
      <c r="F85" s="898">
        <v>0</v>
      </c>
      <c r="G85" s="898">
        <v>3000</v>
      </c>
      <c r="H85" s="898">
        <v>0</v>
      </c>
      <c r="I85" s="898">
        <v>0</v>
      </c>
      <c r="J85" s="898">
        <v>0</v>
      </c>
      <c r="K85" s="898">
        <v>344</v>
      </c>
      <c r="L85" s="898">
        <v>1859988</v>
      </c>
    </row>
    <row r="86" spans="1:12" ht="15" hidden="1">
      <c r="A86" s="507" t="s">
        <v>140</v>
      </c>
      <c r="B86" s="429" t="s">
        <v>201</v>
      </c>
      <c r="C86" s="887">
        <f>SUM(D86,K86,L86)</f>
        <v>0</v>
      </c>
      <c r="D86" s="887">
        <f>SUM(E86:J86)</f>
        <v>0</v>
      </c>
      <c r="E86" s="898">
        <v>0</v>
      </c>
      <c r="F86" s="898">
        <v>0</v>
      </c>
      <c r="G86" s="898">
        <v>0</v>
      </c>
      <c r="H86" s="898">
        <v>0</v>
      </c>
      <c r="I86" s="898">
        <v>0</v>
      </c>
      <c r="J86" s="898">
        <v>0</v>
      </c>
      <c r="K86" s="898">
        <v>0</v>
      </c>
      <c r="L86" s="898">
        <v>0</v>
      </c>
    </row>
    <row r="87" spans="1:12" ht="15" hidden="1">
      <c r="A87" s="507" t="s">
        <v>142</v>
      </c>
      <c r="B87" s="429" t="s">
        <v>141</v>
      </c>
      <c r="C87" s="899">
        <f>SUM(D87,K87,L87)</f>
        <v>4916944</v>
      </c>
      <c r="D87" s="899">
        <f>SUM(E87:J87)</f>
        <v>301945</v>
      </c>
      <c r="E87" s="898">
        <v>254285</v>
      </c>
      <c r="F87" s="898">
        <v>0</v>
      </c>
      <c r="G87" s="898">
        <v>18065</v>
      </c>
      <c r="H87" s="898">
        <v>0</v>
      </c>
      <c r="I87" s="898">
        <v>0</v>
      </c>
      <c r="J87" s="898">
        <v>29595</v>
      </c>
      <c r="K87" s="898">
        <v>162239</v>
      </c>
      <c r="L87" s="898">
        <v>4452760</v>
      </c>
    </row>
    <row r="88" spans="1:12" ht="15" hidden="1">
      <c r="A88" s="507" t="s">
        <v>144</v>
      </c>
      <c r="B88" s="429" t="s">
        <v>143</v>
      </c>
      <c r="C88" s="887">
        <f>D88+K88+L88</f>
        <v>15193192</v>
      </c>
      <c r="D88" s="887">
        <f>E88+F88+G88+H88+I88+J88</f>
        <v>213652</v>
      </c>
      <c r="E88" s="898">
        <v>213652</v>
      </c>
      <c r="F88" s="898">
        <v>0</v>
      </c>
      <c r="G88" s="898">
        <v>0</v>
      </c>
      <c r="H88" s="898">
        <v>0</v>
      </c>
      <c r="I88" s="898">
        <v>0</v>
      </c>
      <c r="J88" s="898">
        <v>0</v>
      </c>
      <c r="K88" s="898">
        <v>0</v>
      </c>
      <c r="L88" s="898">
        <v>14979540</v>
      </c>
    </row>
    <row r="89" spans="1:12" ht="15" hidden="1">
      <c r="A89" s="507" t="s">
        <v>146</v>
      </c>
      <c r="B89" s="429" t="s">
        <v>145</v>
      </c>
      <c r="C89" s="887">
        <f>SUM(D89,K89,L89)</f>
        <v>2019074</v>
      </c>
      <c r="D89" s="887">
        <f>SUM(E89:J89)</f>
        <v>139074</v>
      </c>
      <c r="E89" s="898">
        <v>139074</v>
      </c>
      <c r="F89" s="898">
        <v>0</v>
      </c>
      <c r="G89" s="898">
        <v>0</v>
      </c>
      <c r="H89" s="898">
        <v>0</v>
      </c>
      <c r="I89" s="898">
        <v>0</v>
      </c>
      <c r="J89" s="898">
        <v>0</v>
      </c>
      <c r="K89" s="898">
        <v>0</v>
      </c>
      <c r="L89" s="898">
        <v>1880000</v>
      </c>
    </row>
    <row r="90" spans="1:12" ht="25.5" hidden="1">
      <c r="A90" s="507" t="s">
        <v>148</v>
      </c>
      <c r="B90" s="431" t="s">
        <v>147</v>
      </c>
      <c r="C90" s="887">
        <f>SUM(D90,K90,L90)</f>
        <v>0</v>
      </c>
      <c r="D90" s="887">
        <f>SUM(E90:J90)</f>
        <v>0</v>
      </c>
      <c r="E90" s="898">
        <v>0</v>
      </c>
      <c r="F90" s="898">
        <v>0</v>
      </c>
      <c r="G90" s="898">
        <v>0</v>
      </c>
      <c r="H90" s="898">
        <v>0</v>
      </c>
      <c r="I90" s="898">
        <v>0</v>
      </c>
      <c r="J90" s="898">
        <v>0</v>
      </c>
      <c r="K90" s="898">
        <v>0</v>
      </c>
      <c r="L90" s="898">
        <v>0</v>
      </c>
    </row>
    <row r="91" spans="1:12" ht="15" hidden="1">
      <c r="A91" s="507" t="s">
        <v>185</v>
      </c>
      <c r="B91" s="429" t="s">
        <v>149</v>
      </c>
      <c r="C91" s="887">
        <f>SUM(D91,K91,L91)</f>
        <v>3806</v>
      </c>
      <c r="D91" s="887">
        <f>SUM(E91:J91)</f>
        <v>3806</v>
      </c>
      <c r="E91" s="898">
        <v>500</v>
      </c>
      <c r="F91" s="898">
        <v>0</v>
      </c>
      <c r="G91" s="898">
        <v>3000</v>
      </c>
      <c r="H91" s="898">
        <v>0</v>
      </c>
      <c r="I91" s="898">
        <v>0</v>
      </c>
      <c r="J91" s="898">
        <v>306</v>
      </c>
      <c r="K91" s="898">
        <v>0</v>
      </c>
      <c r="L91" s="898">
        <v>0</v>
      </c>
    </row>
    <row r="92" spans="1:12" ht="15" hidden="1">
      <c r="A92" s="508" t="s">
        <v>52</v>
      </c>
      <c r="B92" s="394" t="s">
        <v>150</v>
      </c>
      <c r="C92" s="889">
        <f>C77-C80-C83</f>
        <v>18216681</v>
      </c>
      <c r="D92" s="889">
        <f>SUM(E92:J92)</f>
        <v>1230723</v>
      </c>
      <c r="E92" s="889">
        <f>E82-E83</f>
        <v>597610</v>
      </c>
      <c r="F92" s="889">
        <f aca="true" t="shared" si="23" ref="F92:K92">F82-F83</f>
        <v>0</v>
      </c>
      <c r="G92" s="889">
        <f t="shared" si="23"/>
        <v>556158</v>
      </c>
      <c r="H92" s="889">
        <f t="shared" si="23"/>
        <v>0</v>
      </c>
      <c r="I92" s="889">
        <f t="shared" si="23"/>
        <v>76955</v>
      </c>
      <c r="J92" s="889">
        <f t="shared" si="23"/>
        <v>0</v>
      </c>
      <c r="K92" s="889">
        <f t="shared" si="23"/>
        <v>57471</v>
      </c>
      <c r="L92" s="889">
        <f>L82-L83</f>
        <v>16928487</v>
      </c>
    </row>
    <row r="93" spans="1:12" ht="25.5" hidden="1">
      <c r="A93" s="534" t="s">
        <v>540</v>
      </c>
      <c r="B93" s="488" t="s">
        <v>213</v>
      </c>
      <c r="C93" s="532">
        <f>(C84+C85+C86)/C83</f>
        <v>0.12980874874782075</v>
      </c>
      <c r="D93" s="532">
        <f aca="true" t="shared" si="24" ref="D93:L93">(D84+D85+D86)/D83</f>
        <v>0.3833439936918148</v>
      </c>
      <c r="E93" s="533">
        <f t="shared" si="24"/>
        <v>0.16329442550700685</v>
      </c>
      <c r="F93" s="533" t="e">
        <f t="shared" si="24"/>
        <v>#DIV/0!</v>
      </c>
      <c r="G93" s="533">
        <f t="shared" si="24"/>
        <v>0.810904945286762</v>
      </c>
      <c r="H93" s="533">
        <f t="shared" si="24"/>
        <v>1</v>
      </c>
      <c r="I93" s="533">
        <f t="shared" si="24"/>
        <v>1</v>
      </c>
      <c r="J93" s="533">
        <f t="shared" si="24"/>
        <v>0.856801463545458</v>
      </c>
      <c r="K93" s="533">
        <f t="shared" si="24"/>
        <v>0.19636320406576152</v>
      </c>
      <c r="L93" s="533">
        <f t="shared" si="24"/>
        <v>0.11804933068989115</v>
      </c>
    </row>
    <row r="94" ht="15" hidden="1"/>
    <row r="95" ht="15" hidden="1">
      <c r="B95" s="477" t="s">
        <v>759</v>
      </c>
    </row>
    <row r="96" spans="1:12" ht="15" hidden="1">
      <c r="A96" s="1187" t="s">
        <v>70</v>
      </c>
      <c r="B96" s="1188"/>
      <c r="C96" s="1556" t="s">
        <v>37</v>
      </c>
      <c r="D96" s="1539" t="s">
        <v>337</v>
      </c>
      <c r="E96" s="1539"/>
      <c r="F96" s="1539"/>
      <c r="G96" s="1539"/>
      <c r="H96" s="1539"/>
      <c r="I96" s="1539"/>
      <c r="J96" s="1539"/>
      <c r="K96" s="1539"/>
      <c r="L96" s="1539"/>
    </row>
    <row r="97" spans="1:12" ht="15" hidden="1">
      <c r="A97" s="1189"/>
      <c r="B97" s="1190"/>
      <c r="C97" s="1556"/>
      <c r="D97" s="1540" t="s">
        <v>205</v>
      </c>
      <c r="E97" s="1541"/>
      <c r="F97" s="1541"/>
      <c r="G97" s="1541"/>
      <c r="H97" s="1541"/>
      <c r="I97" s="1541"/>
      <c r="J97" s="1542"/>
      <c r="K97" s="1543" t="s">
        <v>206</v>
      </c>
      <c r="L97" s="1543" t="s">
        <v>207</v>
      </c>
    </row>
    <row r="98" spans="1:12" ht="15" hidden="1">
      <c r="A98" s="1189"/>
      <c r="B98" s="1190"/>
      <c r="C98" s="1556"/>
      <c r="D98" s="1548" t="s">
        <v>36</v>
      </c>
      <c r="E98" s="1549" t="s">
        <v>7</v>
      </c>
      <c r="F98" s="1550"/>
      <c r="G98" s="1550"/>
      <c r="H98" s="1550"/>
      <c r="I98" s="1550"/>
      <c r="J98" s="1551"/>
      <c r="K98" s="1544"/>
      <c r="L98" s="1546"/>
    </row>
    <row r="99" spans="1:12" ht="15" hidden="1">
      <c r="A99" s="1554"/>
      <c r="B99" s="1555"/>
      <c r="C99" s="1556"/>
      <c r="D99" s="1548"/>
      <c r="E99" s="551" t="s">
        <v>208</v>
      </c>
      <c r="F99" s="551" t="s">
        <v>209</v>
      </c>
      <c r="G99" s="551" t="s">
        <v>210</v>
      </c>
      <c r="H99" s="551" t="s">
        <v>211</v>
      </c>
      <c r="I99" s="551" t="s">
        <v>344</v>
      </c>
      <c r="J99" s="551" t="s">
        <v>212</v>
      </c>
      <c r="K99" s="1545"/>
      <c r="L99" s="1547"/>
    </row>
    <row r="100" spans="1:12" ht="15" hidden="1">
      <c r="A100" s="1552" t="s">
        <v>6</v>
      </c>
      <c r="B100" s="1553"/>
      <c r="C100" s="481">
        <v>1</v>
      </c>
      <c r="D100" s="482">
        <v>2</v>
      </c>
      <c r="E100" s="481">
        <v>3</v>
      </c>
      <c r="F100" s="482">
        <v>4</v>
      </c>
      <c r="G100" s="481">
        <v>5</v>
      </c>
      <c r="H100" s="482">
        <v>6</v>
      </c>
      <c r="I100" s="481">
        <v>7</v>
      </c>
      <c r="J100" s="482">
        <v>8</v>
      </c>
      <c r="K100" s="481">
        <v>9</v>
      </c>
      <c r="L100" s="482">
        <v>10</v>
      </c>
    </row>
    <row r="101" spans="1:12" ht="15" hidden="1">
      <c r="A101" s="506" t="s">
        <v>0</v>
      </c>
      <c r="B101" s="427" t="s">
        <v>130</v>
      </c>
      <c r="C101" s="888">
        <f>D101+K101+L101</f>
        <v>8436895</v>
      </c>
      <c r="D101" s="888">
        <f>E101+F101+G101+H101+I101+J101</f>
        <v>1453083</v>
      </c>
      <c r="E101" s="888">
        <f aca="true" t="shared" si="25" ref="E101:L101">E102+E103</f>
        <v>406355</v>
      </c>
      <c r="F101" s="888">
        <f t="shared" si="25"/>
        <v>200</v>
      </c>
      <c r="G101" s="888">
        <f t="shared" si="25"/>
        <v>542341</v>
      </c>
      <c r="H101" s="888">
        <f t="shared" si="25"/>
        <v>37191</v>
      </c>
      <c r="I101" s="888">
        <f t="shared" si="25"/>
        <v>112326</v>
      </c>
      <c r="J101" s="888">
        <f t="shared" si="25"/>
        <v>354670</v>
      </c>
      <c r="K101" s="888">
        <f t="shared" si="25"/>
        <v>0</v>
      </c>
      <c r="L101" s="888">
        <f t="shared" si="25"/>
        <v>6983812</v>
      </c>
    </row>
    <row r="102" spans="1:12" ht="15.75" hidden="1">
      <c r="A102" s="507">
        <v>1</v>
      </c>
      <c r="B102" s="429" t="s">
        <v>131</v>
      </c>
      <c r="C102" s="887">
        <f>SUM(D102,K102,L102)</f>
        <v>5960982</v>
      </c>
      <c r="D102" s="887">
        <f>SUM(E102:J102)</f>
        <v>1011566</v>
      </c>
      <c r="E102" s="941">
        <v>291096</v>
      </c>
      <c r="F102" s="941">
        <v>0</v>
      </c>
      <c r="G102" s="941">
        <v>463774</v>
      </c>
      <c r="H102" s="941">
        <v>0</v>
      </c>
      <c r="I102" s="941">
        <v>89603</v>
      </c>
      <c r="J102" s="941">
        <v>167093</v>
      </c>
      <c r="K102" s="941">
        <v>0</v>
      </c>
      <c r="L102" s="941">
        <v>4949416</v>
      </c>
    </row>
    <row r="103" spans="1:12" ht="15.75" hidden="1">
      <c r="A103" s="507">
        <v>2</v>
      </c>
      <c r="B103" s="429" t="s">
        <v>132</v>
      </c>
      <c r="C103" s="887">
        <f>SUM(D103,K103,L103)</f>
        <v>2475913</v>
      </c>
      <c r="D103" s="887">
        <f>SUM(E103:J103)</f>
        <v>441517</v>
      </c>
      <c r="E103" s="941">
        <v>115259</v>
      </c>
      <c r="F103" s="941">
        <v>200</v>
      </c>
      <c r="G103" s="941">
        <v>78567</v>
      </c>
      <c r="H103" s="941">
        <v>37191</v>
      </c>
      <c r="I103" s="941">
        <v>22723</v>
      </c>
      <c r="J103" s="941">
        <v>187577</v>
      </c>
      <c r="K103" s="941">
        <v>0</v>
      </c>
      <c r="L103" s="941">
        <v>2034396</v>
      </c>
    </row>
    <row r="104" spans="1:12" ht="15.75" hidden="1">
      <c r="A104" s="508" t="s">
        <v>1</v>
      </c>
      <c r="B104" s="394" t="s">
        <v>133</v>
      </c>
      <c r="C104" s="887">
        <f>SUM(D104,K104,L104)</f>
        <v>176590</v>
      </c>
      <c r="D104" s="887">
        <f>SUM(E104:J104)</f>
        <v>22990</v>
      </c>
      <c r="E104" s="941">
        <v>2990</v>
      </c>
      <c r="F104" s="941">
        <v>0</v>
      </c>
      <c r="G104" s="941">
        <v>20000</v>
      </c>
      <c r="H104" s="941">
        <v>0</v>
      </c>
      <c r="I104" s="941">
        <v>0</v>
      </c>
      <c r="J104" s="941">
        <v>0</v>
      </c>
      <c r="K104" s="941">
        <v>0</v>
      </c>
      <c r="L104" s="941">
        <v>153600</v>
      </c>
    </row>
    <row r="105" spans="1:12" ht="15" hidden="1">
      <c r="A105" s="508" t="s">
        <v>9</v>
      </c>
      <c r="B105" s="394" t="s">
        <v>134</v>
      </c>
      <c r="C105" s="887">
        <f>SUM(D105,K105,L105)</f>
        <v>0</v>
      </c>
      <c r="D105" s="887">
        <f>SUM(E105:J105)</f>
        <v>0</v>
      </c>
      <c r="E105" s="827"/>
      <c r="F105" s="827"/>
      <c r="G105" s="827"/>
      <c r="H105" s="827"/>
      <c r="I105" s="827"/>
      <c r="J105" s="827"/>
      <c r="K105" s="827"/>
      <c r="L105" s="827"/>
    </row>
    <row r="106" spans="1:12" ht="15" hidden="1">
      <c r="A106" s="508" t="s">
        <v>135</v>
      </c>
      <c r="B106" s="394" t="s">
        <v>136</v>
      </c>
      <c r="C106" s="889">
        <f>SUM(D106,K106,L106)</f>
        <v>8260305</v>
      </c>
      <c r="D106" s="889">
        <f>SUM(E106:J106)</f>
        <v>1430093</v>
      </c>
      <c r="E106" s="890">
        <f aca="true" t="shared" si="26" ref="E106:L106">E101-SUM(E104,E105)</f>
        <v>403365</v>
      </c>
      <c r="F106" s="890">
        <f t="shared" si="26"/>
        <v>200</v>
      </c>
      <c r="G106" s="890">
        <f t="shared" si="26"/>
        <v>522341</v>
      </c>
      <c r="H106" s="891">
        <f t="shared" si="26"/>
        <v>37191</v>
      </c>
      <c r="I106" s="890">
        <f t="shared" si="26"/>
        <v>112326</v>
      </c>
      <c r="J106" s="890">
        <f t="shared" si="26"/>
        <v>354670</v>
      </c>
      <c r="K106" s="890">
        <f t="shared" si="26"/>
        <v>0</v>
      </c>
      <c r="L106" s="890">
        <f t="shared" si="26"/>
        <v>6830212</v>
      </c>
    </row>
    <row r="107" spans="1:12" ht="15" hidden="1">
      <c r="A107" s="508" t="s">
        <v>51</v>
      </c>
      <c r="B107" s="430" t="s">
        <v>137</v>
      </c>
      <c r="C107" s="889">
        <f>C108+C109+C110+C111+C112+C113+C114+C115</f>
        <v>5457154</v>
      </c>
      <c r="D107" s="889">
        <f aca="true" t="shared" si="27" ref="D107:L107">D108+D109+D110+D111+D112+D113+D114+D115</f>
        <v>521983</v>
      </c>
      <c r="E107" s="889">
        <f t="shared" si="27"/>
        <v>148592</v>
      </c>
      <c r="F107" s="889">
        <f t="shared" si="27"/>
        <v>200</v>
      </c>
      <c r="G107" s="889">
        <f t="shared" si="27"/>
        <v>99266</v>
      </c>
      <c r="H107" s="889">
        <f t="shared" si="27"/>
        <v>37191</v>
      </c>
      <c r="I107" s="889">
        <f t="shared" si="27"/>
        <v>24103</v>
      </c>
      <c r="J107" s="889">
        <f t="shared" si="27"/>
        <v>212631</v>
      </c>
      <c r="K107" s="889">
        <f t="shared" si="27"/>
        <v>0</v>
      </c>
      <c r="L107" s="889">
        <f t="shared" si="27"/>
        <v>4935171</v>
      </c>
    </row>
    <row r="108" spans="1:12" ht="15.75" hidden="1">
      <c r="A108" s="507" t="s">
        <v>53</v>
      </c>
      <c r="B108" s="429" t="s">
        <v>138</v>
      </c>
      <c r="C108" s="899">
        <f>SUM(D108,K108,L108)</f>
        <v>1250547</v>
      </c>
      <c r="D108" s="899">
        <f>SUM(E108:J108)</f>
        <v>387546</v>
      </c>
      <c r="E108" s="941">
        <v>79847</v>
      </c>
      <c r="F108" s="941">
        <v>200</v>
      </c>
      <c r="G108" s="941">
        <v>64267</v>
      </c>
      <c r="H108" s="941">
        <v>37191</v>
      </c>
      <c r="I108" s="941">
        <v>16003</v>
      </c>
      <c r="J108" s="941">
        <v>190038</v>
      </c>
      <c r="K108" s="941">
        <v>0</v>
      </c>
      <c r="L108" s="941">
        <v>863001</v>
      </c>
    </row>
    <row r="109" spans="1:12" ht="15.75" hidden="1">
      <c r="A109" s="507" t="s">
        <v>54</v>
      </c>
      <c r="B109" s="429" t="s">
        <v>139</v>
      </c>
      <c r="C109" s="887">
        <f>SUM(D109,K109,L109)</f>
        <v>170385</v>
      </c>
      <c r="D109" s="887">
        <f>SUM(E109:J109)</f>
        <v>0</v>
      </c>
      <c r="E109" s="941">
        <v>0</v>
      </c>
      <c r="F109" s="941">
        <v>0</v>
      </c>
      <c r="G109" s="941">
        <v>0</v>
      </c>
      <c r="H109" s="941">
        <v>0</v>
      </c>
      <c r="I109" s="941">
        <v>0</v>
      </c>
      <c r="J109" s="941">
        <v>0</v>
      </c>
      <c r="K109" s="941">
        <v>0</v>
      </c>
      <c r="L109" s="941">
        <v>170385</v>
      </c>
    </row>
    <row r="110" spans="1:12" ht="15.75" hidden="1">
      <c r="A110" s="507" t="s">
        <v>140</v>
      </c>
      <c r="B110" s="429" t="s">
        <v>201</v>
      </c>
      <c r="C110" s="887">
        <f>SUM(D110,K110,L110)</f>
        <v>0</v>
      </c>
      <c r="D110" s="887">
        <f>SUM(E110:J110)</f>
        <v>0</v>
      </c>
      <c r="E110" s="941">
        <v>0</v>
      </c>
      <c r="F110" s="941">
        <v>0</v>
      </c>
      <c r="G110" s="941">
        <v>0</v>
      </c>
      <c r="H110" s="941">
        <v>0</v>
      </c>
      <c r="I110" s="941">
        <v>0</v>
      </c>
      <c r="J110" s="941">
        <v>0</v>
      </c>
      <c r="K110" s="941">
        <v>0</v>
      </c>
      <c r="L110" s="941">
        <v>0</v>
      </c>
    </row>
    <row r="111" spans="1:12" ht="15.75" hidden="1">
      <c r="A111" s="507" t="s">
        <v>142</v>
      </c>
      <c r="B111" s="429" t="s">
        <v>141</v>
      </c>
      <c r="C111" s="899">
        <f>SUM(D111,K111,L111)</f>
        <v>2970697</v>
      </c>
      <c r="D111" s="899">
        <f>SUM(E111:J111)</f>
        <v>113912</v>
      </c>
      <c r="E111" s="941">
        <v>48370</v>
      </c>
      <c r="F111" s="941">
        <v>0</v>
      </c>
      <c r="G111" s="941">
        <v>34999</v>
      </c>
      <c r="H111" s="941">
        <v>0</v>
      </c>
      <c r="I111" s="941">
        <v>8100</v>
      </c>
      <c r="J111" s="941">
        <v>22443</v>
      </c>
      <c r="K111" s="941">
        <v>0</v>
      </c>
      <c r="L111" s="941">
        <v>2856785</v>
      </c>
    </row>
    <row r="112" spans="1:12" ht="15.75" hidden="1">
      <c r="A112" s="507" t="s">
        <v>144</v>
      </c>
      <c r="B112" s="429" t="s">
        <v>143</v>
      </c>
      <c r="C112" s="887">
        <f>D112+K112+L112</f>
        <v>945375</v>
      </c>
      <c r="D112" s="887">
        <f>E112+F112+G112+H112+I112+J112</f>
        <v>20375</v>
      </c>
      <c r="E112" s="941">
        <v>20375</v>
      </c>
      <c r="F112" s="941">
        <v>0</v>
      </c>
      <c r="G112" s="941">
        <v>0</v>
      </c>
      <c r="H112" s="941">
        <v>0</v>
      </c>
      <c r="I112" s="941">
        <v>0</v>
      </c>
      <c r="J112" s="941">
        <v>0</v>
      </c>
      <c r="K112" s="941">
        <v>0</v>
      </c>
      <c r="L112" s="941">
        <v>925000</v>
      </c>
    </row>
    <row r="113" spans="1:12" ht="15.75" hidden="1">
      <c r="A113" s="507" t="s">
        <v>146</v>
      </c>
      <c r="B113" s="429" t="s">
        <v>145</v>
      </c>
      <c r="C113" s="887">
        <f>SUM(D113,K113,L113)</f>
        <v>0</v>
      </c>
      <c r="D113" s="887">
        <f>SUM(E113:J113)</f>
        <v>0</v>
      </c>
      <c r="E113" s="941">
        <v>0</v>
      </c>
      <c r="F113" s="941">
        <v>0</v>
      </c>
      <c r="G113" s="941">
        <v>0</v>
      </c>
      <c r="H113" s="941">
        <v>0</v>
      </c>
      <c r="I113" s="941">
        <v>0</v>
      </c>
      <c r="J113" s="941">
        <v>0</v>
      </c>
      <c r="K113" s="941">
        <v>0</v>
      </c>
      <c r="L113" s="941">
        <v>0</v>
      </c>
    </row>
    <row r="114" spans="1:12" ht="25.5" hidden="1">
      <c r="A114" s="507" t="s">
        <v>148</v>
      </c>
      <c r="B114" s="431" t="s">
        <v>147</v>
      </c>
      <c r="C114" s="887">
        <f>SUM(D114,K114,L114)</f>
        <v>0</v>
      </c>
      <c r="D114" s="887">
        <f>SUM(E114:J114)</f>
        <v>0</v>
      </c>
      <c r="E114" s="941">
        <v>0</v>
      </c>
      <c r="F114" s="941">
        <v>0</v>
      </c>
      <c r="G114" s="941">
        <v>0</v>
      </c>
      <c r="H114" s="941">
        <v>0</v>
      </c>
      <c r="I114" s="941">
        <v>0</v>
      </c>
      <c r="J114" s="941">
        <v>0</v>
      </c>
      <c r="K114" s="941">
        <v>0</v>
      </c>
      <c r="L114" s="941">
        <v>0</v>
      </c>
    </row>
    <row r="115" spans="1:12" ht="15.75" hidden="1">
      <c r="A115" s="507" t="s">
        <v>185</v>
      </c>
      <c r="B115" s="429" t="s">
        <v>149</v>
      </c>
      <c r="C115" s="887">
        <f>SUM(D115,K115,L115)</f>
        <v>120150</v>
      </c>
      <c r="D115" s="887">
        <f>SUM(E115:J115)</f>
        <v>150</v>
      </c>
      <c r="E115" s="941">
        <v>0</v>
      </c>
      <c r="F115" s="941">
        <v>0</v>
      </c>
      <c r="G115" s="941">
        <v>0</v>
      </c>
      <c r="H115" s="941">
        <v>0</v>
      </c>
      <c r="I115" s="941">
        <v>0</v>
      </c>
      <c r="J115" s="941">
        <v>150</v>
      </c>
      <c r="K115" s="941">
        <v>0</v>
      </c>
      <c r="L115" s="941">
        <v>120000</v>
      </c>
    </row>
    <row r="116" spans="1:12" ht="15" hidden="1">
      <c r="A116" s="508" t="s">
        <v>52</v>
      </c>
      <c r="B116" s="394" t="s">
        <v>150</v>
      </c>
      <c r="C116" s="889">
        <f>C101-C104-C107</f>
        <v>2803151</v>
      </c>
      <c r="D116" s="889">
        <f>SUM(E116:J116)</f>
        <v>908110</v>
      </c>
      <c r="E116" s="889">
        <f>E106-E107</f>
        <v>254773</v>
      </c>
      <c r="F116" s="889">
        <f aca="true" t="shared" si="28" ref="F116:K116">F106-F107</f>
        <v>0</v>
      </c>
      <c r="G116" s="889">
        <f t="shared" si="28"/>
        <v>423075</v>
      </c>
      <c r="H116" s="889">
        <f t="shared" si="28"/>
        <v>0</v>
      </c>
      <c r="I116" s="889">
        <f t="shared" si="28"/>
        <v>88223</v>
      </c>
      <c r="J116" s="889">
        <f t="shared" si="28"/>
        <v>142039</v>
      </c>
      <c r="K116" s="889">
        <f t="shared" si="28"/>
        <v>0</v>
      </c>
      <c r="L116" s="889">
        <f>L106-L107</f>
        <v>1895041</v>
      </c>
    </row>
    <row r="117" spans="1:12" ht="25.5" hidden="1">
      <c r="A117" s="534" t="s">
        <v>540</v>
      </c>
      <c r="B117" s="488" t="s">
        <v>213</v>
      </c>
      <c r="C117" s="532">
        <f>(C108+C109+C110)/C107</f>
        <v>0.2603796777587732</v>
      </c>
      <c r="D117" s="532">
        <f aca="true" t="shared" si="29" ref="D117:L117">(D108+D109+D110)/D107</f>
        <v>0.7424494667450856</v>
      </c>
      <c r="E117" s="533">
        <f t="shared" si="29"/>
        <v>0.5373573274469688</v>
      </c>
      <c r="F117" s="533">
        <f t="shared" si="29"/>
        <v>1</v>
      </c>
      <c r="G117" s="533">
        <f t="shared" si="29"/>
        <v>0.6474220780529083</v>
      </c>
      <c r="H117" s="533">
        <f t="shared" si="29"/>
        <v>1</v>
      </c>
      <c r="I117" s="533">
        <f t="shared" si="29"/>
        <v>0.6639422478529644</v>
      </c>
      <c r="J117" s="533">
        <f t="shared" si="29"/>
        <v>0.8937455027724085</v>
      </c>
      <c r="K117" s="533" t="e">
        <f t="shared" si="29"/>
        <v>#DIV/0!</v>
      </c>
      <c r="L117" s="533">
        <f t="shared" si="29"/>
        <v>0.20939213656426495</v>
      </c>
    </row>
    <row r="118" ht="15" hidden="1"/>
    <row r="119" ht="15" hidden="1">
      <c r="B119" s="1029" t="s">
        <v>752</v>
      </c>
    </row>
    <row r="120" ht="15" hidden="1"/>
    <row r="121" spans="1:12" ht="15" hidden="1">
      <c r="A121" s="1187" t="s">
        <v>70</v>
      </c>
      <c r="B121" s="1188"/>
      <c r="C121" s="1556" t="s">
        <v>37</v>
      </c>
      <c r="D121" s="1539" t="s">
        <v>337</v>
      </c>
      <c r="E121" s="1539"/>
      <c r="F121" s="1539"/>
      <c r="G121" s="1539"/>
      <c r="H121" s="1539"/>
      <c r="I121" s="1539"/>
      <c r="J121" s="1539"/>
      <c r="K121" s="1539"/>
      <c r="L121" s="1539"/>
    </row>
    <row r="122" spans="1:12" ht="15" hidden="1">
      <c r="A122" s="1189"/>
      <c r="B122" s="1190"/>
      <c r="C122" s="1556"/>
      <c r="D122" s="1540" t="s">
        <v>205</v>
      </c>
      <c r="E122" s="1541"/>
      <c r="F122" s="1541"/>
      <c r="G122" s="1541"/>
      <c r="H122" s="1541"/>
      <c r="I122" s="1541"/>
      <c r="J122" s="1542"/>
      <c r="K122" s="1543" t="s">
        <v>206</v>
      </c>
      <c r="L122" s="1543" t="s">
        <v>207</v>
      </c>
    </row>
    <row r="123" spans="1:12" ht="15" hidden="1">
      <c r="A123" s="1189"/>
      <c r="B123" s="1190"/>
      <c r="C123" s="1556"/>
      <c r="D123" s="1548" t="s">
        <v>36</v>
      </c>
      <c r="E123" s="1549" t="s">
        <v>7</v>
      </c>
      <c r="F123" s="1550"/>
      <c r="G123" s="1550"/>
      <c r="H123" s="1550"/>
      <c r="I123" s="1550"/>
      <c r="J123" s="1551"/>
      <c r="K123" s="1544"/>
      <c r="L123" s="1546"/>
    </row>
    <row r="124" spans="1:12" ht="15" hidden="1">
      <c r="A124" s="1554"/>
      <c r="B124" s="1555"/>
      <c r="C124" s="1556"/>
      <c r="D124" s="1548"/>
      <c r="E124" s="551" t="s">
        <v>208</v>
      </c>
      <c r="F124" s="551" t="s">
        <v>209</v>
      </c>
      <c r="G124" s="551" t="s">
        <v>210</v>
      </c>
      <c r="H124" s="551" t="s">
        <v>211</v>
      </c>
      <c r="I124" s="551" t="s">
        <v>344</v>
      </c>
      <c r="J124" s="551" t="s">
        <v>212</v>
      </c>
      <c r="K124" s="1545"/>
      <c r="L124" s="1547"/>
    </row>
    <row r="125" spans="1:12" ht="15" hidden="1">
      <c r="A125" s="1552" t="s">
        <v>6</v>
      </c>
      <c r="B125" s="1553"/>
      <c r="C125" s="481">
        <v>1</v>
      </c>
      <c r="D125" s="482">
        <v>2</v>
      </c>
      <c r="E125" s="481">
        <v>3</v>
      </c>
      <c r="F125" s="482">
        <v>4</v>
      </c>
      <c r="G125" s="481">
        <v>5</v>
      </c>
      <c r="H125" s="482">
        <v>6</v>
      </c>
      <c r="I125" s="481">
        <v>7</v>
      </c>
      <c r="J125" s="482">
        <v>8</v>
      </c>
      <c r="K125" s="481">
        <v>9</v>
      </c>
      <c r="L125" s="482">
        <v>10</v>
      </c>
    </row>
    <row r="126" spans="1:12" ht="15" hidden="1">
      <c r="A126" s="506" t="s">
        <v>0</v>
      </c>
      <c r="B126" s="427" t="s">
        <v>130</v>
      </c>
      <c r="C126" s="888">
        <f>D126+K126+L126</f>
        <v>19431102</v>
      </c>
      <c r="D126" s="888">
        <f>E126+F126+G126+H126+I126+J126</f>
        <v>2900779</v>
      </c>
      <c r="E126" s="888">
        <f aca="true" t="shared" si="30" ref="E126:L126">E127+E128</f>
        <v>688511</v>
      </c>
      <c r="F126" s="888">
        <f t="shared" si="30"/>
        <v>0</v>
      </c>
      <c r="G126" s="888">
        <f t="shared" si="30"/>
        <v>1336821</v>
      </c>
      <c r="H126" s="888">
        <f t="shared" si="30"/>
        <v>0</v>
      </c>
      <c r="I126" s="888">
        <f t="shared" si="30"/>
        <v>0</v>
      </c>
      <c r="J126" s="888">
        <f t="shared" si="30"/>
        <v>875447</v>
      </c>
      <c r="K126" s="888">
        <f t="shared" si="30"/>
        <v>0</v>
      </c>
      <c r="L126" s="888">
        <f t="shared" si="30"/>
        <v>16530323</v>
      </c>
    </row>
    <row r="127" spans="1:12" ht="15" hidden="1">
      <c r="A127" s="507">
        <v>1</v>
      </c>
      <c r="B127" s="429" t="s">
        <v>131</v>
      </c>
      <c r="C127" s="887">
        <f>SUM(D127,K127,L127)</f>
        <v>17959069</v>
      </c>
      <c r="D127" s="887">
        <f>SUM(E127:J127)</f>
        <v>2504766</v>
      </c>
      <c r="E127" s="898">
        <v>462234</v>
      </c>
      <c r="F127" s="898">
        <v>0</v>
      </c>
      <c r="G127" s="898">
        <v>1277447</v>
      </c>
      <c r="H127" s="898">
        <v>0</v>
      </c>
      <c r="I127" s="898">
        <v>0</v>
      </c>
      <c r="J127" s="898">
        <v>765085</v>
      </c>
      <c r="K127" s="898">
        <v>0</v>
      </c>
      <c r="L127" s="898">
        <v>15454303</v>
      </c>
    </row>
    <row r="128" spans="1:12" ht="15" hidden="1">
      <c r="A128" s="507">
        <v>2</v>
      </c>
      <c r="B128" s="429" t="s">
        <v>132</v>
      </c>
      <c r="C128" s="887">
        <f>SUM(D128,K128,L128)</f>
        <v>1472033</v>
      </c>
      <c r="D128" s="887">
        <f>SUM(E128:J128)</f>
        <v>396013</v>
      </c>
      <c r="E128" s="898">
        <v>226277</v>
      </c>
      <c r="F128" s="898">
        <v>0</v>
      </c>
      <c r="G128" s="898">
        <v>59374</v>
      </c>
      <c r="H128" s="898">
        <v>0</v>
      </c>
      <c r="I128" s="898">
        <v>0</v>
      </c>
      <c r="J128" s="898">
        <v>110362</v>
      </c>
      <c r="K128" s="898">
        <v>0</v>
      </c>
      <c r="L128" s="898">
        <v>1076020</v>
      </c>
    </row>
    <row r="129" spans="1:12" ht="15" hidden="1">
      <c r="A129" s="508" t="s">
        <v>1</v>
      </c>
      <c r="B129" s="394" t="s">
        <v>133</v>
      </c>
      <c r="C129" s="887">
        <f>SUM(D129,K129,L129)</f>
        <v>263337</v>
      </c>
      <c r="D129" s="887">
        <f>SUM(E129:J129)</f>
        <v>200</v>
      </c>
      <c r="E129" s="1030">
        <v>200</v>
      </c>
      <c r="F129" s="1030">
        <v>0</v>
      </c>
      <c r="G129" s="1030">
        <v>0</v>
      </c>
      <c r="H129" s="1030">
        <v>0</v>
      </c>
      <c r="I129" s="1030">
        <v>0</v>
      </c>
      <c r="J129" s="1030">
        <v>0</v>
      </c>
      <c r="K129" s="1030">
        <v>0</v>
      </c>
      <c r="L129" s="1030">
        <v>263137</v>
      </c>
    </row>
    <row r="130" spans="1:12" ht="15" hidden="1">
      <c r="A130" s="508" t="s">
        <v>9</v>
      </c>
      <c r="B130" s="394" t="s">
        <v>134</v>
      </c>
      <c r="C130" s="887">
        <f>SUM(D130,K130,L130)</f>
        <v>0</v>
      </c>
      <c r="D130" s="887">
        <f>SUM(E130:J130)</f>
        <v>0</v>
      </c>
      <c r="E130" s="827"/>
      <c r="F130" s="827"/>
      <c r="G130" s="827"/>
      <c r="H130" s="827"/>
      <c r="I130" s="827"/>
      <c r="J130" s="827"/>
      <c r="K130" s="827"/>
      <c r="L130" s="827"/>
    </row>
    <row r="131" spans="1:12" ht="15" hidden="1">
      <c r="A131" s="508" t="s">
        <v>135</v>
      </c>
      <c r="B131" s="394" t="s">
        <v>136</v>
      </c>
      <c r="C131" s="889">
        <f>SUM(D131,K131,L131)</f>
        <v>19167765</v>
      </c>
      <c r="D131" s="889">
        <f>SUM(E131:J131)</f>
        <v>2900579</v>
      </c>
      <c r="E131" s="890">
        <f aca="true" t="shared" si="31" ref="E131:L131">E126-SUM(E129,E130)</f>
        <v>688311</v>
      </c>
      <c r="F131" s="890">
        <f t="shared" si="31"/>
        <v>0</v>
      </c>
      <c r="G131" s="890">
        <f t="shared" si="31"/>
        <v>1336821</v>
      </c>
      <c r="H131" s="891">
        <f t="shared" si="31"/>
        <v>0</v>
      </c>
      <c r="I131" s="890">
        <f t="shared" si="31"/>
        <v>0</v>
      </c>
      <c r="J131" s="890">
        <f t="shared" si="31"/>
        <v>875447</v>
      </c>
      <c r="K131" s="890">
        <f t="shared" si="31"/>
        <v>0</v>
      </c>
      <c r="L131" s="890">
        <f t="shared" si="31"/>
        <v>16267186</v>
      </c>
    </row>
    <row r="132" spans="1:12" ht="15" hidden="1">
      <c r="A132" s="508" t="s">
        <v>51</v>
      </c>
      <c r="B132" s="430" t="s">
        <v>137</v>
      </c>
      <c r="C132" s="889">
        <f>C133+C134+C135+C136+C137+C138+C139+C140</f>
        <v>13885445</v>
      </c>
      <c r="D132" s="889">
        <f aca="true" t="shared" si="32" ref="D132:L132">D133+D134+D135+D136+D137+D138+D139+D140</f>
        <v>645043</v>
      </c>
      <c r="E132" s="889">
        <f t="shared" si="32"/>
        <v>203765</v>
      </c>
      <c r="F132" s="889">
        <f t="shared" si="32"/>
        <v>0</v>
      </c>
      <c r="G132" s="889">
        <f t="shared" si="32"/>
        <v>295116</v>
      </c>
      <c r="H132" s="889">
        <f t="shared" si="32"/>
        <v>0</v>
      </c>
      <c r="I132" s="889">
        <f t="shared" si="32"/>
        <v>0</v>
      </c>
      <c r="J132" s="889">
        <f t="shared" si="32"/>
        <v>146162</v>
      </c>
      <c r="K132" s="889">
        <f t="shared" si="32"/>
        <v>0</v>
      </c>
      <c r="L132" s="889">
        <f t="shared" si="32"/>
        <v>13240402</v>
      </c>
    </row>
    <row r="133" spans="1:12" ht="15" hidden="1">
      <c r="A133" s="507" t="s">
        <v>53</v>
      </c>
      <c r="B133" s="429" t="s">
        <v>138</v>
      </c>
      <c r="C133" s="899">
        <f>SUM(D133,K133,L133)</f>
        <v>515002</v>
      </c>
      <c r="D133" s="899">
        <f>SUM(E133:J133)</f>
        <v>222444</v>
      </c>
      <c r="E133" s="898">
        <v>49256</v>
      </c>
      <c r="F133" s="898">
        <v>0</v>
      </c>
      <c r="G133" s="898">
        <v>53328</v>
      </c>
      <c r="H133" s="898">
        <v>0</v>
      </c>
      <c r="I133" s="898">
        <v>0</v>
      </c>
      <c r="J133" s="898">
        <v>119860</v>
      </c>
      <c r="K133" s="898">
        <v>0</v>
      </c>
      <c r="L133" s="898">
        <v>292558</v>
      </c>
    </row>
    <row r="134" spans="1:12" ht="15" hidden="1">
      <c r="A134" s="507" t="s">
        <v>54</v>
      </c>
      <c r="B134" s="429" t="s">
        <v>139</v>
      </c>
      <c r="C134" s="887">
        <f>SUM(D134,K134,L134)</f>
        <v>167046</v>
      </c>
      <c r="D134" s="887">
        <f>SUM(E134:J134)</f>
        <v>162236</v>
      </c>
      <c r="E134" s="898">
        <v>12579</v>
      </c>
      <c r="F134" s="898">
        <v>0</v>
      </c>
      <c r="G134" s="898">
        <v>136823</v>
      </c>
      <c r="H134" s="898">
        <v>0</v>
      </c>
      <c r="I134" s="898">
        <v>0</v>
      </c>
      <c r="J134" s="898">
        <v>12834</v>
      </c>
      <c r="K134" s="898">
        <v>0</v>
      </c>
      <c r="L134" s="898">
        <v>4810</v>
      </c>
    </row>
    <row r="135" spans="1:12" ht="15" hidden="1">
      <c r="A135" s="507" t="s">
        <v>140</v>
      </c>
      <c r="B135" s="429" t="s">
        <v>201</v>
      </c>
      <c r="C135" s="887">
        <f>SUM(D135,K135,L135)</f>
        <v>11286</v>
      </c>
      <c r="D135" s="887">
        <f>SUM(E135:J135)</f>
        <v>11286</v>
      </c>
      <c r="E135" s="898">
        <v>3661</v>
      </c>
      <c r="F135" s="898">
        <v>0</v>
      </c>
      <c r="G135" s="898">
        <v>6000</v>
      </c>
      <c r="H135" s="898">
        <v>0</v>
      </c>
      <c r="I135" s="898">
        <v>0</v>
      </c>
      <c r="J135" s="898">
        <v>1625</v>
      </c>
      <c r="K135" s="898">
        <v>0</v>
      </c>
      <c r="L135" s="898">
        <v>0</v>
      </c>
    </row>
    <row r="136" spans="1:12" ht="15" hidden="1">
      <c r="A136" s="507" t="s">
        <v>142</v>
      </c>
      <c r="B136" s="429" t="s">
        <v>141</v>
      </c>
      <c r="C136" s="899">
        <f>SUM(D136,K136,L136)</f>
        <v>10169368</v>
      </c>
      <c r="D136" s="899">
        <f>SUM(E136:J136)</f>
        <v>181860</v>
      </c>
      <c r="E136" s="898">
        <v>75047</v>
      </c>
      <c r="F136" s="898">
        <v>0</v>
      </c>
      <c r="G136" s="898">
        <v>94970</v>
      </c>
      <c r="H136" s="898">
        <v>0</v>
      </c>
      <c r="I136" s="898">
        <v>0</v>
      </c>
      <c r="J136" s="898">
        <v>11843</v>
      </c>
      <c r="K136" s="898">
        <v>0</v>
      </c>
      <c r="L136" s="898">
        <v>9987508</v>
      </c>
    </row>
    <row r="137" spans="1:12" ht="15" hidden="1">
      <c r="A137" s="507" t="s">
        <v>144</v>
      </c>
      <c r="B137" s="429" t="s">
        <v>143</v>
      </c>
      <c r="C137" s="887">
        <f>D137+K137+L137</f>
        <v>2957318</v>
      </c>
      <c r="D137" s="887">
        <f>E137+F137+G137+H137+I137+J137</f>
        <v>60792</v>
      </c>
      <c r="E137" s="898">
        <v>60792</v>
      </c>
      <c r="F137" s="898">
        <v>0</v>
      </c>
      <c r="G137" s="898">
        <v>0</v>
      </c>
      <c r="H137" s="898">
        <v>0</v>
      </c>
      <c r="I137" s="898">
        <v>0</v>
      </c>
      <c r="J137" s="898">
        <v>0</v>
      </c>
      <c r="K137" s="898">
        <v>0</v>
      </c>
      <c r="L137" s="898">
        <v>2896526</v>
      </c>
    </row>
    <row r="138" spans="1:12" ht="15" hidden="1">
      <c r="A138" s="507" t="s">
        <v>146</v>
      </c>
      <c r="B138" s="429" t="s">
        <v>145</v>
      </c>
      <c r="C138" s="887">
        <f>SUM(D138,K138,L138)</f>
        <v>0</v>
      </c>
      <c r="D138" s="887">
        <f>SUM(E138:J138)</f>
        <v>0</v>
      </c>
      <c r="E138" s="898">
        <v>0</v>
      </c>
      <c r="F138" s="898">
        <v>0</v>
      </c>
      <c r="G138" s="898">
        <v>0</v>
      </c>
      <c r="H138" s="898">
        <v>0</v>
      </c>
      <c r="I138" s="898">
        <v>0</v>
      </c>
      <c r="J138" s="898">
        <v>0</v>
      </c>
      <c r="K138" s="898">
        <v>0</v>
      </c>
      <c r="L138" s="898">
        <v>0</v>
      </c>
    </row>
    <row r="139" spans="1:12" ht="25.5" hidden="1">
      <c r="A139" s="507" t="s">
        <v>148</v>
      </c>
      <c r="B139" s="431" t="s">
        <v>147</v>
      </c>
      <c r="C139" s="887">
        <f>SUM(D139,K139,L139)</f>
        <v>0</v>
      </c>
      <c r="D139" s="887">
        <f>SUM(E139:J139)</f>
        <v>0</v>
      </c>
      <c r="E139" s="898">
        <v>0</v>
      </c>
      <c r="F139" s="898">
        <v>0</v>
      </c>
      <c r="G139" s="898">
        <v>0</v>
      </c>
      <c r="H139" s="898">
        <v>0</v>
      </c>
      <c r="I139" s="898">
        <v>0</v>
      </c>
      <c r="J139" s="898">
        <v>0</v>
      </c>
      <c r="K139" s="898">
        <v>0</v>
      </c>
      <c r="L139" s="898">
        <v>0</v>
      </c>
    </row>
    <row r="140" spans="1:12" ht="15" hidden="1">
      <c r="A140" s="507" t="s">
        <v>185</v>
      </c>
      <c r="B140" s="429" t="s">
        <v>149</v>
      </c>
      <c r="C140" s="887">
        <f>SUM(D140,K140,L140)</f>
        <v>65425</v>
      </c>
      <c r="D140" s="887">
        <f>SUM(E140:J140)</f>
        <v>6425</v>
      </c>
      <c r="E140" s="898">
        <v>2430</v>
      </c>
      <c r="F140" s="898">
        <v>0</v>
      </c>
      <c r="G140" s="898">
        <v>3995</v>
      </c>
      <c r="H140" s="898">
        <v>0</v>
      </c>
      <c r="I140" s="898">
        <v>0</v>
      </c>
      <c r="J140" s="898">
        <v>0</v>
      </c>
      <c r="K140" s="898">
        <v>0</v>
      </c>
      <c r="L140" s="898">
        <v>59000</v>
      </c>
    </row>
    <row r="141" spans="1:12" ht="15" hidden="1">
      <c r="A141" s="508" t="s">
        <v>52</v>
      </c>
      <c r="B141" s="394" t="s">
        <v>150</v>
      </c>
      <c r="C141" s="889">
        <f>C126-C129-C132</f>
        <v>5282320</v>
      </c>
      <c r="D141" s="889">
        <f>SUM(E141:J141)</f>
        <v>2255536</v>
      </c>
      <c r="E141" s="889">
        <f>E131-E132</f>
        <v>484546</v>
      </c>
      <c r="F141" s="889">
        <f aca="true" t="shared" si="33" ref="F141:K141">F131-F132</f>
        <v>0</v>
      </c>
      <c r="G141" s="889">
        <f t="shared" si="33"/>
        <v>1041705</v>
      </c>
      <c r="H141" s="889">
        <f t="shared" si="33"/>
        <v>0</v>
      </c>
      <c r="I141" s="889">
        <f t="shared" si="33"/>
        <v>0</v>
      </c>
      <c r="J141" s="889">
        <f t="shared" si="33"/>
        <v>729285</v>
      </c>
      <c r="K141" s="889">
        <f t="shared" si="33"/>
        <v>0</v>
      </c>
      <c r="L141" s="889">
        <f>L131-L132</f>
        <v>3026784</v>
      </c>
    </row>
    <row r="142" spans="1:12" ht="25.5" hidden="1">
      <c r="A142" s="534" t="s">
        <v>540</v>
      </c>
      <c r="B142" s="488" t="s">
        <v>213</v>
      </c>
      <c r="C142" s="532">
        <f>(C133+C134+C135)/C132</f>
        <v>0.049932429245155625</v>
      </c>
      <c r="D142" s="532">
        <f aca="true" t="shared" si="34" ref="D142:L142">(D133+D134+D135)/D132</f>
        <v>0.6138598512037182</v>
      </c>
      <c r="E142" s="533">
        <f t="shared" si="34"/>
        <v>0.32142909724437463</v>
      </c>
      <c r="F142" s="533" t="e">
        <f t="shared" si="34"/>
        <v>#DIV/0!</v>
      </c>
      <c r="G142" s="533">
        <f t="shared" si="34"/>
        <v>0.6646572873039753</v>
      </c>
      <c r="H142" s="533" t="e">
        <f t="shared" si="34"/>
        <v>#DIV/0!</v>
      </c>
      <c r="I142" s="533" t="e">
        <f t="shared" si="34"/>
        <v>#DIV/0!</v>
      </c>
      <c r="J142" s="533">
        <f t="shared" si="34"/>
        <v>0.9189734677960072</v>
      </c>
      <c r="K142" s="533" t="e">
        <f t="shared" si="34"/>
        <v>#DIV/0!</v>
      </c>
      <c r="L142" s="533">
        <f t="shared" si="34"/>
        <v>0.022459136814728133</v>
      </c>
    </row>
    <row r="143" ht="15" hidden="1"/>
    <row r="144" ht="15" hidden="1">
      <c r="B144" s="477" t="s">
        <v>751</v>
      </c>
    </row>
    <row r="145" ht="15" hidden="1"/>
    <row r="146" spans="1:12" ht="15" hidden="1">
      <c r="A146" s="1187" t="s">
        <v>70</v>
      </c>
      <c r="B146" s="1188"/>
      <c r="C146" s="1556" t="s">
        <v>37</v>
      </c>
      <c r="D146" s="1539" t="s">
        <v>337</v>
      </c>
      <c r="E146" s="1539"/>
      <c r="F146" s="1539"/>
      <c r="G146" s="1539"/>
      <c r="H146" s="1539"/>
      <c r="I146" s="1539"/>
      <c r="J146" s="1539"/>
      <c r="K146" s="1539"/>
      <c r="L146" s="1539"/>
    </row>
    <row r="147" spans="1:12" ht="15" hidden="1">
      <c r="A147" s="1189"/>
      <c r="B147" s="1190"/>
      <c r="C147" s="1556"/>
      <c r="D147" s="1540" t="s">
        <v>205</v>
      </c>
      <c r="E147" s="1541"/>
      <c r="F147" s="1541"/>
      <c r="G147" s="1541"/>
      <c r="H147" s="1541"/>
      <c r="I147" s="1541"/>
      <c r="J147" s="1542"/>
      <c r="K147" s="1543" t="s">
        <v>206</v>
      </c>
      <c r="L147" s="1543" t="s">
        <v>207</v>
      </c>
    </row>
    <row r="148" spans="1:12" ht="15" hidden="1">
      <c r="A148" s="1189"/>
      <c r="B148" s="1190"/>
      <c r="C148" s="1556"/>
      <c r="D148" s="1548" t="s">
        <v>36</v>
      </c>
      <c r="E148" s="1549" t="s">
        <v>7</v>
      </c>
      <c r="F148" s="1550"/>
      <c r="G148" s="1550"/>
      <c r="H148" s="1550"/>
      <c r="I148" s="1550"/>
      <c r="J148" s="1551"/>
      <c r="K148" s="1544"/>
      <c r="L148" s="1546"/>
    </row>
    <row r="149" spans="1:12" ht="15" hidden="1">
      <c r="A149" s="1554"/>
      <c r="B149" s="1555"/>
      <c r="C149" s="1556"/>
      <c r="D149" s="1548"/>
      <c r="E149" s="551" t="s">
        <v>208</v>
      </c>
      <c r="F149" s="551" t="s">
        <v>209</v>
      </c>
      <c r="G149" s="551" t="s">
        <v>210</v>
      </c>
      <c r="H149" s="551" t="s">
        <v>211</v>
      </c>
      <c r="I149" s="551" t="s">
        <v>344</v>
      </c>
      <c r="J149" s="551" t="s">
        <v>212</v>
      </c>
      <c r="K149" s="1545"/>
      <c r="L149" s="1547"/>
    </row>
    <row r="150" spans="1:12" ht="15" hidden="1">
      <c r="A150" s="1552" t="s">
        <v>6</v>
      </c>
      <c r="B150" s="1553"/>
      <c r="C150" s="481">
        <v>1</v>
      </c>
      <c r="D150" s="482">
        <v>2</v>
      </c>
      <c r="E150" s="481">
        <v>3</v>
      </c>
      <c r="F150" s="482">
        <v>4</v>
      </c>
      <c r="G150" s="481">
        <v>5</v>
      </c>
      <c r="H150" s="482">
        <v>6</v>
      </c>
      <c r="I150" s="481">
        <v>7</v>
      </c>
      <c r="J150" s="482">
        <v>8</v>
      </c>
      <c r="K150" s="481">
        <v>9</v>
      </c>
      <c r="L150" s="482">
        <v>10</v>
      </c>
    </row>
    <row r="151" spans="1:12" ht="15" hidden="1">
      <c r="A151" s="506" t="s">
        <v>0</v>
      </c>
      <c r="B151" s="427" t="s">
        <v>130</v>
      </c>
      <c r="C151" s="888">
        <f>D151+K151+L151</f>
        <v>13027031</v>
      </c>
      <c r="D151" s="888">
        <f>E151+F151+G151+H151+I151+J151</f>
        <v>936294</v>
      </c>
      <c r="E151" s="888">
        <f aca="true" t="shared" si="35" ref="E151:L151">E152+E153</f>
        <v>350267</v>
      </c>
      <c r="F151" s="888">
        <f t="shared" si="35"/>
        <v>0</v>
      </c>
      <c r="G151" s="888">
        <f t="shared" si="35"/>
        <v>197232</v>
      </c>
      <c r="H151" s="888">
        <f t="shared" si="35"/>
        <v>162790</v>
      </c>
      <c r="I151" s="888">
        <f t="shared" si="35"/>
        <v>131429</v>
      </c>
      <c r="J151" s="888">
        <f t="shared" si="35"/>
        <v>94576</v>
      </c>
      <c r="K151" s="888">
        <f t="shared" si="35"/>
        <v>8993385</v>
      </c>
      <c r="L151" s="888">
        <f t="shared" si="35"/>
        <v>3097352</v>
      </c>
    </row>
    <row r="152" spans="1:12" ht="15" hidden="1">
      <c r="A152" s="507">
        <v>1</v>
      </c>
      <c r="B152" s="429" t="s">
        <v>131</v>
      </c>
      <c r="C152" s="887">
        <f>SUM(D152,K152,L152)</f>
        <v>10312437</v>
      </c>
      <c r="D152" s="887">
        <f>SUM(E152:J152)</f>
        <v>491238</v>
      </c>
      <c r="E152" s="1135">
        <v>282223</v>
      </c>
      <c r="F152" s="1135">
        <v>0</v>
      </c>
      <c r="G152" s="1135">
        <v>81440</v>
      </c>
      <c r="H152" s="1135"/>
      <c r="I152" s="1135">
        <v>127575</v>
      </c>
      <c r="J152" s="1135">
        <v>0</v>
      </c>
      <c r="K152" s="1135">
        <v>8993385</v>
      </c>
      <c r="L152" s="1135">
        <v>827814</v>
      </c>
    </row>
    <row r="153" spans="1:12" ht="15" hidden="1">
      <c r="A153" s="507">
        <v>2</v>
      </c>
      <c r="B153" s="429" t="s">
        <v>132</v>
      </c>
      <c r="C153" s="887">
        <f>SUM(D153,K153,L153)</f>
        <v>2714594</v>
      </c>
      <c r="D153" s="887">
        <f>SUM(E153:J153)</f>
        <v>445056</v>
      </c>
      <c r="E153" s="1135">
        <v>68044</v>
      </c>
      <c r="F153" s="1135">
        <v>0</v>
      </c>
      <c r="G153" s="1135">
        <v>115792</v>
      </c>
      <c r="H153" s="1135">
        <v>162790</v>
      </c>
      <c r="I153" s="1135">
        <v>3854</v>
      </c>
      <c r="J153" s="1135">
        <v>94576</v>
      </c>
      <c r="K153" s="1135"/>
      <c r="L153" s="1135">
        <v>2269538</v>
      </c>
    </row>
    <row r="154" spans="1:12" ht="15" hidden="1">
      <c r="A154" s="508" t="s">
        <v>1</v>
      </c>
      <c r="B154" s="394" t="s">
        <v>133</v>
      </c>
      <c r="C154" s="887">
        <f>SUM(D154,K154,L154)</f>
        <v>7000</v>
      </c>
      <c r="D154" s="887">
        <f>SUM(E154:J154)</f>
        <v>7000</v>
      </c>
      <c r="E154" s="1136"/>
      <c r="F154" s="1136"/>
      <c r="G154" s="1136">
        <v>7000</v>
      </c>
      <c r="H154" s="1136"/>
      <c r="I154" s="1136"/>
      <c r="J154" s="1136"/>
      <c r="K154" s="1136"/>
      <c r="L154" s="1136"/>
    </row>
    <row r="155" spans="1:12" ht="15" hidden="1">
      <c r="A155" s="508" t="s">
        <v>9</v>
      </c>
      <c r="B155" s="394" t="s">
        <v>134</v>
      </c>
      <c r="C155" s="887">
        <f>SUM(D155,K155,L155)</f>
        <v>0</v>
      </c>
      <c r="D155" s="887">
        <f>SUM(E155:J155)</f>
        <v>0</v>
      </c>
      <c r="E155" s="930"/>
      <c r="F155" s="930"/>
      <c r="G155" s="930"/>
      <c r="H155" s="930"/>
      <c r="I155" s="930"/>
      <c r="J155" s="930"/>
      <c r="K155" s="930"/>
      <c r="L155" s="930"/>
    </row>
    <row r="156" spans="1:12" ht="15" hidden="1">
      <c r="A156" s="508" t="s">
        <v>135</v>
      </c>
      <c r="B156" s="394" t="s">
        <v>136</v>
      </c>
      <c r="C156" s="889">
        <f>SUM(D156,K156,L156)</f>
        <v>13020031</v>
      </c>
      <c r="D156" s="889">
        <f>SUM(E156:J156)</f>
        <v>929294</v>
      </c>
      <c r="E156" s="890">
        <f aca="true" t="shared" si="36" ref="E156:L156">E151-SUM(E154,E155)</f>
        <v>350267</v>
      </c>
      <c r="F156" s="890">
        <f t="shared" si="36"/>
        <v>0</v>
      </c>
      <c r="G156" s="890">
        <f t="shared" si="36"/>
        <v>190232</v>
      </c>
      <c r="H156" s="891">
        <f t="shared" si="36"/>
        <v>162790</v>
      </c>
      <c r="I156" s="890">
        <f t="shared" si="36"/>
        <v>131429</v>
      </c>
      <c r="J156" s="890">
        <f t="shared" si="36"/>
        <v>94576</v>
      </c>
      <c r="K156" s="890">
        <f t="shared" si="36"/>
        <v>8993385</v>
      </c>
      <c r="L156" s="890">
        <f t="shared" si="36"/>
        <v>3097352</v>
      </c>
    </row>
    <row r="157" spans="1:12" ht="15" hidden="1">
      <c r="A157" s="508" t="s">
        <v>51</v>
      </c>
      <c r="B157" s="430" t="s">
        <v>137</v>
      </c>
      <c r="C157" s="889">
        <f>C158+C159+C160+C161+C162+C163+C164+C165</f>
        <v>11983206</v>
      </c>
      <c r="D157" s="889">
        <f aca="true" t="shared" si="37" ref="D157:L157">D158+D159+D160+D161+D162+D163+D164+D165</f>
        <v>695439</v>
      </c>
      <c r="E157" s="889">
        <f t="shared" si="37"/>
        <v>311167</v>
      </c>
      <c r="F157" s="889">
        <f t="shared" si="37"/>
        <v>0</v>
      </c>
      <c r="G157" s="889">
        <f t="shared" si="37"/>
        <v>122272</v>
      </c>
      <c r="H157" s="889">
        <f t="shared" si="37"/>
        <v>162690</v>
      </c>
      <c r="I157" s="889">
        <f t="shared" si="37"/>
        <v>4734</v>
      </c>
      <c r="J157" s="889">
        <f t="shared" si="37"/>
        <v>94576</v>
      </c>
      <c r="K157" s="889">
        <f t="shared" si="37"/>
        <v>8993385</v>
      </c>
      <c r="L157" s="889">
        <f t="shared" si="37"/>
        <v>2294382</v>
      </c>
    </row>
    <row r="158" spans="1:12" ht="15" hidden="1">
      <c r="A158" s="507" t="s">
        <v>53</v>
      </c>
      <c r="B158" s="429" t="s">
        <v>138</v>
      </c>
      <c r="C158" s="899">
        <f>SUM(D158,K158,L158)</f>
        <v>1518349</v>
      </c>
      <c r="D158" s="899">
        <f>SUM(E158:J158)</f>
        <v>464202</v>
      </c>
      <c r="E158" s="931">
        <v>92105</v>
      </c>
      <c r="F158" s="931">
        <v>0</v>
      </c>
      <c r="G158" s="931">
        <v>112272</v>
      </c>
      <c r="H158" s="931">
        <v>161115</v>
      </c>
      <c r="I158" s="931">
        <v>4134</v>
      </c>
      <c r="J158" s="931">
        <v>94576</v>
      </c>
      <c r="K158" s="931"/>
      <c r="L158" s="931">
        <v>1054147</v>
      </c>
    </row>
    <row r="159" spans="1:12" ht="15" hidden="1">
      <c r="A159" s="507" t="s">
        <v>54</v>
      </c>
      <c r="B159" s="429" t="s">
        <v>139</v>
      </c>
      <c r="C159" s="887">
        <f>SUM(D159,K159,L159)</f>
        <v>34423</v>
      </c>
      <c r="D159" s="887">
        <f>SUM(E159:J159)</f>
        <v>0</v>
      </c>
      <c r="E159" s="931"/>
      <c r="F159" s="931"/>
      <c r="G159" s="931"/>
      <c r="H159" s="931"/>
      <c r="I159" s="931"/>
      <c r="J159" s="931"/>
      <c r="K159" s="931"/>
      <c r="L159" s="931">
        <v>34423</v>
      </c>
    </row>
    <row r="160" spans="1:12" ht="15" hidden="1">
      <c r="A160" s="507" t="s">
        <v>140</v>
      </c>
      <c r="B160" s="429" t="s">
        <v>201</v>
      </c>
      <c r="C160" s="887">
        <f>SUM(D160,K160,L160)</f>
        <v>0</v>
      </c>
      <c r="D160" s="887">
        <f>SUM(E160:J160)</f>
        <v>0</v>
      </c>
      <c r="E160" s="931"/>
      <c r="F160" s="931"/>
      <c r="G160" s="931"/>
      <c r="H160" s="931"/>
      <c r="I160" s="931"/>
      <c r="J160" s="931"/>
      <c r="K160" s="931"/>
      <c r="L160" s="931"/>
    </row>
    <row r="161" spans="1:12" ht="15" hidden="1">
      <c r="A161" s="507" t="s">
        <v>142</v>
      </c>
      <c r="B161" s="429" t="s">
        <v>141</v>
      </c>
      <c r="C161" s="899">
        <f>SUM(D161,K161,L161)</f>
        <v>10430434</v>
      </c>
      <c r="D161" s="899">
        <f>SUM(E161:J161)</f>
        <v>231237</v>
      </c>
      <c r="E161" s="931">
        <v>219062</v>
      </c>
      <c r="F161" s="931">
        <v>0</v>
      </c>
      <c r="G161" s="931">
        <v>10000</v>
      </c>
      <c r="H161" s="931">
        <v>1575</v>
      </c>
      <c r="I161" s="931">
        <v>600</v>
      </c>
      <c r="J161" s="931">
        <v>0</v>
      </c>
      <c r="K161" s="931">
        <v>8993385</v>
      </c>
      <c r="L161" s="931">
        <v>1205812</v>
      </c>
    </row>
    <row r="162" spans="1:12" ht="15" hidden="1">
      <c r="A162" s="507" t="s">
        <v>144</v>
      </c>
      <c r="B162" s="429" t="s">
        <v>143</v>
      </c>
      <c r="C162" s="887">
        <f>D162+K162+L162</f>
        <v>0</v>
      </c>
      <c r="D162" s="887">
        <f>E162+F162+G162+H162+I162+J162</f>
        <v>0</v>
      </c>
      <c r="E162" s="931"/>
      <c r="F162" s="931"/>
      <c r="G162" s="931"/>
      <c r="H162" s="931"/>
      <c r="I162" s="931"/>
      <c r="J162" s="931"/>
      <c r="K162" s="931"/>
      <c r="L162" s="931"/>
    </row>
    <row r="163" spans="1:12" ht="15" hidden="1">
      <c r="A163" s="507" t="s">
        <v>146</v>
      </c>
      <c r="B163" s="429" t="s">
        <v>145</v>
      </c>
      <c r="C163" s="887">
        <f>SUM(D163,K163,L163)</f>
        <v>0</v>
      </c>
      <c r="D163" s="887">
        <f>SUM(E163:J163)</f>
        <v>0</v>
      </c>
      <c r="E163" s="931"/>
      <c r="F163" s="931"/>
      <c r="G163" s="931"/>
      <c r="H163" s="931"/>
      <c r="I163" s="931"/>
      <c r="J163" s="931"/>
      <c r="K163" s="931"/>
      <c r="L163" s="931"/>
    </row>
    <row r="164" spans="1:12" ht="25.5" hidden="1">
      <c r="A164" s="507" t="s">
        <v>148</v>
      </c>
      <c r="B164" s="431" t="s">
        <v>147</v>
      </c>
      <c r="C164" s="887">
        <f>SUM(D164,K164,L164)</f>
        <v>0</v>
      </c>
      <c r="D164" s="887">
        <f>SUM(E164:J164)</f>
        <v>0</v>
      </c>
      <c r="E164" s="931"/>
      <c r="F164" s="931"/>
      <c r="G164" s="931"/>
      <c r="H164" s="931"/>
      <c r="I164" s="931"/>
      <c r="J164" s="931"/>
      <c r="K164" s="931"/>
      <c r="L164" s="931"/>
    </row>
    <row r="165" spans="1:12" ht="15" hidden="1">
      <c r="A165" s="507" t="s">
        <v>185</v>
      </c>
      <c r="B165" s="429" t="s">
        <v>149</v>
      </c>
      <c r="C165" s="887">
        <f>SUM(D165,K165,L165)</f>
        <v>0</v>
      </c>
      <c r="D165" s="887">
        <f>SUM(E165:J165)</f>
        <v>0</v>
      </c>
      <c r="E165" s="931"/>
      <c r="F165" s="931"/>
      <c r="G165" s="931"/>
      <c r="H165" s="931"/>
      <c r="I165" s="931"/>
      <c r="J165" s="931"/>
      <c r="K165" s="931"/>
      <c r="L165" s="931"/>
    </row>
    <row r="166" spans="1:12" ht="15" hidden="1">
      <c r="A166" s="508" t="s">
        <v>52</v>
      </c>
      <c r="B166" s="394" t="s">
        <v>150</v>
      </c>
      <c r="C166" s="889">
        <f>C151-C154-C157</f>
        <v>1036825</v>
      </c>
      <c r="D166" s="889">
        <f>SUM(E166:J166)</f>
        <v>233855</v>
      </c>
      <c r="E166" s="889">
        <f>E156-E157</f>
        <v>39100</v>
      </c>
      <c r="F166" s="889">
        <f aca="true" t="shared" si="38" ref="F166:K166">F156-F157</f>
        <v>0</v>
      </c>
      <c r="G166" s="889">
        <f t="shared" si="38"/>
        <v>67960</v>
      </c>
      <c r="H166" s="889">
        <f t="shared" si="38"/>
        <v>100</v>
      </c>
      <c r="I166" s="889">
        <f t="shared" si="38"/>
        <v>126695</v>
      </c>
      <c r="J166" s="889">
        <f t="shared" si="38"/>
        <v>0</v>
      </c>
      <c r="K166" s="889">
        <f t="shared" si="38"/>
        <v>0</v>
      </c>
      <c r="L166" s="889">
        <f>L156-L157</f>
        <v>802970</v>
      </c>
    </row>
    <row r="167" spans="1:12" ht="25.5" hidden="1">
      <c r="A167" s="534" t="s">
        <v>540</v>
      </c>
      <c r="B167" s="488" t="s">
        <v>213</v>
      </c>
      <c r="C167" s="532">
        <f>(C158+C159+C160)/C157</f>
        <v>0.12957901249465292</v>
      </c>
      <c r="D167" s="532">
        <f aca="true" t="shared" si="39" ref="D167:L167">(D158+D159+D160)/D157</f>
        <v>0.6674949204746929</v>
      </c>
      <c r="E167" s="533">
        <f t="shared" si="39"/>
        <v>0.2959986116779736</v>
      </c>
      <c r="F167" s="533" t="e">
        <f t="shared" si="39"/>
        <v>#DIV/0!</v>
      </c>
      <c r="G167" s="533">
        <f t="shared" si="39"/>
        <v>0.918215126930123</v>
      </c>
      <c r="H167" s="533">
        <f t="shared" si="39"/>
        <v>0.990319011617186</v>
      </c>
      <c r="I167" s="533">
        <f t="shared" si="39"/>
        <v>0.8732572877059569</v>
      </c>
      <c r="J167" s="533">
        <f t="shared" si="39"/>
        <v>1</v>
      </c>
      <c r="K167" s="533">
        <f t="shared" si="39"/>
        <v>0</v>
      </c>
      <c r="L167" s="533">
        <f t="shared" si="39"/>
        <v>0.47445020053330267</v>
      </c>
    </row>
    <row r="168" ht="15" hidden="1"/>
    <row r="169" ht="15" hidden="1"/>
    <row r="170" ht="15" hidden="1">
      <c r="B170" s="477" t="s">
        <v>753</v>
      </c>
    </row>
    <row r="171" spans="1:12" ht="15" hidden="1">
      <c r="A171" s="1187" t="s">
        <v>70</v>
      </c>
      <c r="B171" s="1188"/>
      <c r="C171" s="1556" t="s">
        <v>37</v>
      </c>
      <c r="D171" s="1539" t="s">
        <v>337</v>
      </c>
      <c r="E171" s="1539"/>
      <c r="F171" s="1539"/>
      <c r="G171" s="1539"/>
      <c r="H171" s="1539"/>
      <c r="I171" s="1539"/>
      <c r="J171" s="1539"/>
      <c r="K171" s="1539"/>
      <c r="L171" s="1539"/>
    </row>
    <row r="172" spans="1:12" ht="15" hidden="1">
      <c r="A172" s="1189"/>
      <c r="B172" s="1190"/>
      <c r="C172" s="1556"/>
      <c r="D172" s="1540" t="s">
        <v>205</v>
      </c>
      <c r="E172" s="1541"/>
      <c r="F172" s="1541"/>
      <c r="G172" s="1541"/>
      <c r="H172" s="1541"/>
      <c r="I172" s="1541"/>
      <c r="J172" s="1542"/>
      <c r="K172" s="1543" t="s">
        <v>206</v>
      </c>
      <c r="L172" s="1543" t="s">
        <v>207</v>
      </c>
    </row>
    <row r="173" spans="1:12" ht="15" hidden="1">
      <c r="A173" s="1189"/>
      <c r="B173" s="1190"/>
      <c r="C173" s="1556"/>
      <c r="D173" s="1548" t="s">
        <v>36</v>
      </c>
      <c r="E173" s="1549" t="s">
        <v>7</v>
      </c>
      <c r="F173" s="1550"/>
      <c r="G173" s="1550"/>
      <c r="H173" s="1550"/>
      <c r="I173" s="1550"/>
      <c r="J173" s="1551"/>
      <c r="K173" s="1544"/>
      <c r="L173" s="1546"/>
    </row>
    <row r="174" spans="1:12" ht="15" hidden="1">
      <c r="A174" s="1554"/>
      <c r="B174" s="1555"/>
      <c r="C174" s="1556"/>
      <c r="D174" s="1548"/>
      <c r="E174" s="551" t="s">
        <v>208</v>
      </c>
      <c r="F174" s="551" t="s">
        <v>209</v>
      </c>
      <c r="G174" s="551" t="s">
        <v>210</v>
      </c>
      <c r="H174" s="551" t="s">
        <v>211</v>
      </c>
      <c r="I174" s="551" t="s">
        <v>344</v>
      </c>
      <c r="J174" s="551" t="s">
        <v>212</v>
      </c>
      <c r="K174" s="1545"/>
      <c r="L174" s="1547"/>
    </row>
    <row r="175" spans="1:12" ht="15" hidden="1">
      <c r="A175" s="1552" t="s">
        <v>6</v>
      </c>
      <c r="B175" s="1553"/>
      <c r="C175" s="481">
        <v>1</v>
      </c>
      <c r="D175" s="482">
        <v>2</v>
      </c>
      <c r="E175" s="481">
        <v>3</v>
      </c>
      <c r="F175" s="482">
        <v>4</v>
      </c>
      <c r="G175" s="481">
        <v>5</v>
      </c>
      <c r="H175" s="482">
        <v>6</v>
      </c>
      <c r="I175" s="481">
        <v>7</v>
      </c>
      <c r="J175" s="482">
        <v>8</v>
      </c>
      <c r="K175" s="481">
        <v>9</v>
      </c>
      <c r="L175" s="482">
        <v>10</v>
      </c>
    </row>
    <row r="176" spans="1:12" ht="15" hidden="1">
      <c r="A176" s="506" t="s">
        <v>0</v>
      </c>
      <c r="B176" s="427" t="s">
        <v>130</v>
      </c>
      <c r="C176" s="888">
        <f>D176+K176+L176</f>
        <v>5942147</v>
      </c>
      <c r="D176" s="888">
        <f>E176+F176+G176+H176+I176+J176</f>
        <v>1007744</v>
      </c>
      <c r="E176" s="888">
        <f aca="true" t="shared" si="40" ref="E176:L176">E177+E178</f>
        <v>193016</v>
      </c>
      <c r="F176" s="888">
        <f t="shared" si="40"/>
        <v>0</v>
      </c>
      <c r="G176" s="888">
        <f t="shared" si="40"/>
        <v>413550</v>
      </c>
      <c r="H176" s="888">
        <f t="shared" si="40"/>
        <v>48206</v>
      </c>
      <c r="I176" s="888">
        <f t="shared" si="40"/>
        <v>260904</v>
      </c>
      <c r="J176" s="888">
        <f t="shared" si="40"/>
        <v>92068</v>
      </c>
      <c r="K176" s="888">
        <f t="shared" si="40"/>
        <v>307962</v>
      </c>
      <c r="L176" s="888">
        <f t="shared" si="40"/>
        <v>4626441</v>
      </c>
    </row>
    <row r="177" spans="1:12" ht="15" hidden="1">
      <c r="A177" s="507">
        <v>1</v>
      </c>
      <c r="B177" s="429" t="s">
        <v>131</v>
      </c>
      <c r="C177" s="887">
        <f>SUM(D177,K177,L177)</f>
        <v>3502730</v>
      </c>
      <c r="D177" s="887">
        <f>SUM(E177:J177)</f>
        <v>769164</v>
      </c>
      <c r="E177" s="824">
        <f>4321+51627+77734</f>
        <v>133682</v>
      </c>
      <c r="F177" s="824"/>
      <c r="G177" s="824">
        <f>64124+85118+207790</f>
        <v>357032</v>
      </c>
      <c r="H177" s="824">
        <f>32000+0+0</f>
        <v>32000</v>
      </c>
      <c r="I177" s="824">
        <f>0+234645+10250</f>
        <v>244895</v>
      </c>
      <c r="J177" s="824">
        <f>53+1501+1</f>
        <v>1555</v>
      </c>
      <c r="K177" s="824"/>
      <c r="L177" s="824">
        <f>222663+389275+2121628</f>
        <v>2733566</v>
      </c>
    </row>
    <row r="178" spans="1:12" ht="15" hidden="1">
      <c r="A178" s="507">
        <v>2</v>
      </c>
      <c r="B178" s="429" t="s">
        <v>132</v>
      </c>
      <c r="C178" s="887">
        <f>SUM(D178,K178,L178)</f>
        <v>2439417</v>
      </c>
      <c r="D178" s="887">
        <f>SUM(E178:J178)</f>
        <v>238580</v>
      </c>
      <c r="E178" s="825">
        <f>6616+24679+28039</f>
        <v>59334</v>
      </c>
      <c r="F178" s="825"/>
      <c r="G178" s="825">
        <f>10104+28037+18377</f>
        <v>56518</v>
      </c>
      <c r="H178" s="825">
        <f>100+12401+3705</f>
        <v>16206</v>
      </c>
      <c r="I178" s="825">
        <f>12938+2621+450</f>
        <v>16009</v>
      </c>
      <c r="J178" s="825">
        <f>2362+20009+68142</f>
        <v>90513</v>
      </c>
      <c r="K178" s="825">
        <f>4929+303033</f>
        <v>307962</v>
      </c>
      <c r="L178" s="825">
        <f>205992+840047+846836</f>
        <v>1892875</v>
      </c>
    </row>
    <row r="179" spans="1:12" ht="15" hidden="1">
      <c r="A179" s="508" t="s">
        <v>1</v>
      </c>
      <c r="B179" s="394" t="s">
        <v>133</v>
      </c>
      <c r="C179" s="887">
        <f>SUM(D179,K179,L179)</f>
        <v>94475</v>
      </c>
      <c r="D179" s="887">
        <f>SUM(E179:J179)</f>
        <v>5000</v>
      </c>
      <c r="E179" s="826"/>
      <c r="F179" s="826"/>
      <c r="G179" s="826">
        <v>5000</v>
      </c>
      <c r="H179" s="826"/>
      <c r="I179" s="826"/>
      <c r="J179" s="826"/>
      <c r="K179" s="826"/>
      <c r="L179" s="826">
        <f>37800+31200+20475</f>
        <v>89475</v>
      </c>
    </row>
    <row r="180" spans="1:12" ht="15" hidden="1">
      <c r="A180" s="508" t="s">
        <v>9</v>
      </c>
      <c r="B180" s="394" t="s">
        <v>134</v>
      </c>
      <c r="C180" s="887">
        <f>SUM(D180,K180,L180)</f>
        <v>0</v>
      </c>
      <c r="D180" s="887">
        <f>SUM(E180:J180)</f>
        <v>0</v>
      </c>
      <c r="E180" s="827">
        <v>0</v>
      </c>
      <c r="F180" s="827"/>
      <c r="G180" s="827">
        <v>0</v>
      </c>
      <c r="H180" s="827">
        <v>0</v>
      </c>
      <c r="I180" s="827"/>
      <c r="J180" s="827"/>
      <c r="K180" s="827"/>
      <c r="L180" s="827">
        <v>0</v>
      </c>
    </row>
    <row r="181" spans="1:12" ht="15" hidden="1">
      <c r="A181" s="508" t="s">
        <v>135</v>
      </c>
      <c r="B181" s="394" t="s">
        <v>136</v>
      </c>
      <c r="C181" s="889">
        <f>SUM(D181,K181,L181)</f>
        <v>5847672</v>
      </c>
      <c r="D181" s="889">
        <f>SUM(E181:J181)</f>
        <v>1002744</v>
      </c>
      <c r="E181" s="890">
        <f aca="true" t="shared" si="41" ref="E181:L181">E176-SUM(E179,E180)</f>
        <v>193016</v>
      </c>
      <c r="F181" s="890">
        <f t="shared" si="41"/>
        <v>0</v>
      </c>
      <c r="G181" s="890">
        <f t="shared" si="41"/>
        <v>408550</v>
      </c>
      <c r="H181" s="891">
        <f t="shared" si="41"/>
        <v>48206</v>
      </c>
      <c r="I181" s="890">
        <f t="shared" si="41"/>
        <v>260904</v>
      </c>
      <c r="J181" s="890">
        <f t="shared" si="41"/>
        <v>92068</v>
      </c>
      <c r="K181" s="890">
        <f t="shared" si="41"/>
        <v>307962</v>
      </c>
      <c r="L181" s="890">
        <f t="shared" si="41"/>
        <v>4536966</v>
      </c>
    </row>
    <row r="182" spans="1:12" ht="15" hidden="1">
      <c r="A182" s="508" t="s">
        <v>51</v>
      </c>
      <c r="B182" s="430" t="s">
        <v>137</v>
      </c>
      <c r="C182" s="889">
        <f>C183+C184+C185+C186+C187+C188+C189+C190</f>
        <v>3145306</v>
      </c>
      <c r="D182" s="889">
        <f aca="true" t="shared" si="42" ref="D182:L182">D183+D184+D185+D186+D187+D188+D189+D190</f>
        <v>291483</v>
      </c>
      <c r="E182" s="889">
        <f t="shared" si="42"/>
        <v>71099</v>
      </c>
      <c r="F182" s="889">
        <f t="shared" si="42"/>
        <v>0</v>
      </c>
      <c r="G182" s="889">
        <f t="shared" si="42"/>
        <v>85863</v>
      </c>
      <c r="H182" s="889">
        <f t="shared" si="42"/>
        <v>16206</v>
      </c>
      <c r="I182" s="889">
        <f t="shared" si="42"/>
        <v>26247</v>
      </c>
      <c r="J182" s="889">
        <f t="shared" si="42"/>
        <v>92068</v>
      </c>
      <c r="K182" s="889">
        <f t="shared" si="42"/>
        <v>100075</v>
      </c>
      <c r="L182" s="889">
        <f t="shared" si="42"/>
        <v>2753748</v>
      </c>
    </row>
    <row r="183" spans="1:12" ht="15" hidden="1">
      <c r="A183" s="507" t="s">
        <v>53</v>
      </c>
      <c r="B183" s="429" t="s">
        <v>138</v>
      </c>
      <c r="C183" s="899">
        <f>SUM(D183,K183,L183)</f>
        <v>1262142</v>
      </c>
      <c r="D183" s="899">
        <f>SUM(E183:J183)</f>
        <v>218364</v>
      </c>
      <c r="E183" s="825">
        <f>6344+10630+24787</f>
        <v>41761</v>
      </c>
      <c r="F183" s="825"/>
      <c r="G183" s="825">
        <f>11204+22337+21173</f>
        <v>54714</v>
      </c>
      <c r="H183" s="825">
        <f>100+12400+3705</f>
        <v>16205</v>
      </c>
      <c r="I183" s="825">
        <f>12718+2619+0</f>
        <v>15337</v>
      </c>
      <c r="J183" s="825">
        <f>2063+21358+66926</f>
        <v>90347</v>
      </c>
      <c r="K183" s="825">
        <v>95146</v>
      </c>
      <c r="L183" s="825">
        <f>55549+136235+756848</f>
        <v>948632</v>
      </c>
    </row>
    <row r="184" spans="1:12" ht="15" hidden="1">
      <c r="A184" s="507" t="s">
        <v>54</v>
      </c>
      <c r="B184" s="429" t="s">
        <v>139</v>
      </c>
      <c r="C184" s="887">
        <f>SUM(D184,K184,L184)</f>
        <v>37973</v>
      </c>
      <c r="D184" s="887">
        <f>SUM(E184:J184)</f>
        <v>21383</v>
      </c>
      <c r="E184" s="825">
        <f>0+0+3146</f>
        <v>3146</v>
      </c>
      <c r="F184" s="825"/>
      <c r="G184" s="825">
        <f>0+4950+9187</f>
        <v>14137</v>
      </c>
      <c r="H184" s="825"/>
      <c r="I184" s="825">
        <f>0+0+4100</f>
        <v>4100</v>
      </c>
      <c r="J184" s="825"/>
      <c r="K184" s="825"/>
      <c r="L184" s="825">
        <f>8400+8190</f>
        <v>16590</v>
      </c>
    </row>
    <row r="185" spans="1:12" ht="15" hidden="1">
      <c r="A185" s="507" t="s">
        <v>140</v>
      </c>
      <c r="B185" s="429" t="s">
        <v>201</v>
      </c>
      <c r="C185" s="887">
        <f>SUM(D185,K185,L185)</f>
        <v>14002</v>
      </c>
      <c r="D185" s="887">
        <f>SUM(E185:J185)</f>
        <v>14002</v>
      </c>
      <c r="E185" s="825"/>
      <c r="F185" s="825"/>
      <c r="G185" s="825">
        <f>0+2500+4912</f>
        <v>7412</v>
      </c>
      <c r="H185" s="825"/>
      <c r="I185" s="825">
        <v>6590</v>
      </c>
      <c r="J185" s="825"/>
      <c r="K185" s="825"/>
      <c r="L185" s="825"/>
    </row>
    <row r="186" spans="1:12" ht="1.5" customHeight="1" hidden="1">
      <c r="A186" s="507" t="s">
        <v>142</v>
      </c>
      <c r="B186" s="429" t="s">
        <v>141</v>
      </c>
      <c r="C186" s="899">
        <f>SUM(D186,K186,L186)</f>
        <v>1831189</v>
      </c>
      <c r="D186" s="899">
        <f>SUM(E186:J186)</f>
        <v>37734</v>
      </c>
      <c r="E186" s="825">
        <f>922+10506+14764</f>
        <v>26192</v>
      </c>
      <c r="F186" s="825"/>
      <c r="G186" s="825">
        <f>3900+5700+0</f>
        <v>9600</v>
      </c>
      <c r="H186" s="825">
        <v>1</v>
      </c>
      <c r="I186" s="825">
        <f>220+0+0</f>
        <v>220</v>
      </c>
      <c r="J186" s="825">
        <f>353+152+1216</f>
        <v>1721</v>
      </c>
      <c r="K186" s="825">
        <v>4929</v>
      </c>
      <c r="L186" s="825">
        <f>126452+934838+727236</f>
        <v>1788526</v>
      </c>
    </row>
    <row r="187" spans="1:12" ht="15" hidden="1">
      <c r="A187" s="507" t="s">
        <v>144</v>
      </c>
      <c r="B187" s="429" t="s">
        <v>143</v>
      </c>
      <c r="C187" s="887">
        <f>D187+K187+L187</f>
        <v>0</v>
      </c>
      <c r="D187" s="887">
        <f>E187+F187+G187+H187+I187+J187</f>
        <v>0</v>
      </c>
      <c r="E187" s="825"/>
      <c r="F187" s="825"/>
      <c r="G187" s="825"/>
      <c r="H187" s="825"/>
      <c r="I187" s="825"/>
      <c r="J187" s="825"/>
      <c r="K187" s="825"/>
      <c r="L187" s="825"/>
    </row>
    <row r="188" spans="1:12" ht="15" hidden="1">
      <c r="A188" s="507" t="s">
        <v>146</v>
      </c>
      <c r="B188" s="429" t="s">
        <v>145</v>
      </c>
      <c r="C188" s="887">
        <f>SUM(D188,K188,L188)</f>
        <v>0</v>
      </c>
      <c r="D188" s="887">
        <f>SUM(E188:J188)</f>
        <v>0</v>
      </c>
      <c r="E188" s="825"/>
      <c r="F188" s="825"/>
      <c r="G188" s="825"/>
      <c r="H188" s="825"/>
      <c r="I188" s="825"/>
      <c r="J188" s="825"/>
      <c r="K188" s="825"/>
      <c r="L188" s="825"/>
    </row>
    <row r="189" spans="1:12" ht="25.5" hidden="1">
      <c r="A189" s="507" t="s">
        <v>148</v>
      </c>
      <c r="B189" s="431" t="s">
        <v>147</v>
      </c>
      <c r="C189" s="887">
        <f>SUM(D189,K189,L189)</f>
        <v>0</v>
      </c>
      <c r="D189" s="887">
        <f>SUM(E189:J189)</f>
        <v>0</v>
      </c>
      <c r="E189" s="825"/>
      <c r="F189" s="825"/>
      <c r="G189" s="825"/>
      <c r="H189" s="825"/>
      <c r="I189" s="825"/>
      <c r="J189" s="825"/>
      <c r="K189" s="825"/>
      <c r="L189" s="825"/>
    </row>
    <row r="190" spans="1:12" ht="15" hidden="1">
      <c r="A190" s="507" t="s">
        <v>185</v>
      </c>
      <c r="B190" s="429" t="s">
        <v>149</v>
      </c>
      <c r="C190" s="887">
        <f>SUM(D190,K190,L190)</f>
        <v>0</v>
      </c>
      <c r="D190" s="887">
        <f>SUM(E190:J190)</f>
        <v>0</v>
      </c>
      <c r="E190" s="826"/>
      <c r="F190" s="826"/>
      <c r="G190" s="826"/>
      <c r="H190" s="826"/>
      <c r="I190" s="826"/>
      <c r="J190" s="826"/>
      <c r="K190" s="826"/>
      <c r="L190" s="826"/>
    </row>
    <row r="191" spans="1:12" ht="15" hidden="1">
      <c r="A191" s="508" t="s">
        <v>52</v>
      </c>
      <c r="B191" s="394" t="s">
        <v>150</v>
      </c>
      <c r="C191" s="889">
        <f>C176-C179-C182</f>
        <v>2702366</v>
      </c>
      <c r="D191" s="889">
        <f>SUM(E191:J191)</f>
        <v>711261</v>
      </c>
      <c r="E191" s="889">
        <f>E181-E182</f>
        <v>121917</v>
      </c>
      <c r="F191" s="889">
        <f aca="true" t="shared" si="43" ref="F191:K191">F181-F182</f>
        <v>0</v>
      </c>
      <c r="G191" s="889">
        <f t="shared" si="43"/>
        <v>322687</v>
      </c>
      <c r="H191" s="889">
        <f t="shared" si="43"/>
        <v>32000</v>
      </c>
      <c r="I191" s="889">
        <f t="shared" si="43"/>
        <v>234657</v>
      </c>
      <c r="J191" s="889">
        <f t="shared" si="43"/>
        <v>0</v>
      </c>
      <c r="K191" s="889">
        <f t="shared" si="43"/>
        <v>207887</v>
      </c>
      <c r="L191" s="889">
        <f>L181-L182</f>
        <v>1783218</v>
      </c>
    </row>
    <row r="192" spans="1:12" ht="25.5" hidden="1">
      <c r="A192" s="534" t="s">
        <v>540</v>
      </c>
      <c r="B192" s="488" t="s">
        <v>213</v>
      </c>
      <c r="C192" s="532">
        <f>(C183+C184+C185)/C182</f>
        <v>0.4178025921802203</v>
      </c>
      <c r="D192" s="532">
        <f aca="true" t="shared" si="44" ref="D192:L192">(D183+D184+D185)/D182</f>
        <v>0.870544765904015</v>
      </c>
      <c r="E192" s="533">
        <f t="shared" si="44"/>
        <v>0.6316122589628546</v>
      </c>
      <c r="F192" s="533" t="e">
        <f t="shared" si="44"/>
        <v>#DIV/0!</v>
      </c>
      <c r="G192" s="533">
        <f t="shared" si="44"/>
        <v>0.8881939834387338</v>
      </c>
      <c r="H192" s="533">
        <f t="shared" si="44"/>
        <v>0.9999382944588424</v>
      </c>
      <c r="I192" s="533">
        <f t="shared" si="44"/>
        <v>0.9916180896864404</v>
      </c>
      <c r="J192" s="533">
        <f t="shared" si="44"/>
        <v>0.981307294608333</v>
      </c>
      <c r="K192" s="533">
        <f t="shared" si="44"/>
        <v>0.9507469397951537</v>
      </c>
      <c r="L192" s="533">
        <f t="shared" si="44"/>
        <v>0.3505121020514586</v>
      </c>
    </row>
    <row r="193" ht="15" hidden="1"/>
    <row r="194" ht="15" hidden="1"/>
    <row r="195" ht="15" hidden="1">
      <c r="B195" s="909" t="s">
        <v>757</v>
      </c>
    </row>
    <row r="196" spans="1:12" ht="15" hidden="1">
      <c r="A196" s="1187" t="s">
        <v>70</v>
      </c>
      <c r="B196" s="1188"/>
      <c r="C196" s="1556" t="s">
        <v>37</v>
      </c>
      <c r="D196" s="1539" t="s">
        <v>337</v>
      </c>
      <c r="E196" s="1539"/>
      <c r="F196" s="1539"/>
      <c r="G196" s="1539"/>
      <c r="H196" s="1539"/>
      <c r="I196" s="1539"/>
      <c r="J196" s="1539"/>
      <c r="K196" s="1539"/>
      <c r="L196" s="1539"/>
    </row>
    <row r="197" spans="1:12" ht="15" hidden="1">
      <c r="A197" s="1189"/>
      <c r="B197" s="1190"/>
      <c r="C197" s="1556"/>
      <c r="D197" s="1540" t="s">
        <v>205</v>
      </c>
      <c r="E197" s="1541"/>
      <c r="F197" s="1541"/>
      <c r="G197" s="1541"/>
      <c r="H197" s="1541"/>
      <c r="I197" s="1541"/>
      <c r="J197" s="1542"/>
      <c r="K197" s="1543" t="s">
        <v>206</v>
      </c>
      <c r="L197" s="1543" t="s">
        <v>207</v>
      </c>
    </row>
    <row r="198" spans="1:12" ht="15" hidden="1">
      <c r="A198" s="1189"/>
      <c r="B198" s="1190"/>
      <c r="C198" s="1556"/>
      <c r="D198" s="1548" t="s">
        <v>36</v>
      </c>
      <c r="E198" s="1549" t="s">
        <v>7</v>
      </c>
      <c r="F198" s="1550"/>
      <c r="G198" s="1550"/>
      <c r="H198" s="1550"/>
      <c r="I198" s="1550"/>
      <c r="J198" s="1551"/>
      <c r="K198" s="1544"/>
      <c r="L198" s="1546"/>
    </row>
    <row r="199" spans="1:12" ht="15" hidden="1">
      <c r="A199" s="1554"/>
      <c r="B199" s="1555"/>
      <c r="C199" s="1556"/>
      <c r="D199" s="1548"/>
      <c r="E199" s="551" t="s">
        <v>208</v>
      </c>
      <c r="F199" s="551" t="s">
        <v>209</v>
      </c>
      <c r="G199" s="551" t="s">
        <v>210</v>
      </c>
      <c r="H199" s="551" t="s">
        <v>211</v>
      </c>
      <c r="I199" s="551" t="s">
        <v>344</v>
      </c>
      <c r="J199" s="551" t="s">
        <v>212</v>
      </c>
      <c r="K199" s="1545"/>
      <c r="L199" s="1547"/>
    </row>
    <row r="200" spans="1:12" ht="15" hidden="1">
      <c r="A200" s="1552" t="s">
        <v>6</v>
      </c>
      <c r="B200" s="1553"/>
      <c r="C200" s="481">
        <v>1</v>
      </c>
      <c r="D200" s="482">
        <v>2</v>
      </c>
      <c r="E200" s="481">
        <v>3</v>
      </c>
      <c r="F200" s="482">
        <v>4</v>
      </c>
      <c r="G200" s="481">
        <v>5</v>
      </c>
      <c r="H200" s="482">
        <v>6</v>
      </c>
      <c r="I200" s="481">
        <v>7</v>
      </c>
      <c r="J200" s="482">
        <v>8</v>
      </c>
      <c r="K200" s="481">
        <v>9</v>
      </c>
      <c r="L200" s="482">
        <v>10</v>
      </c>
    </row>
    <row r="201" spans="1:12" ht="15" hidden="1">
      <c r="A201" s="506" t="s">
        <v>0</v>
      </c>
      <c r="B201" s="427" t="s">
        <v>130</v>
      </c>
      <c r="C201" s="888">
        <f>D201+K201+L201</f>
        <v>1393137</v>
      </c>
      <c r="D201" s="888">
        <f>E201+F201+G201+H201+I201+J201</f>
        <v>121809</v>
      </c>
      <c r="E201" s="888">
        <f aca="true" t="shared" si="45" ref="E201:L201">E202+E203</f>
        <v>48031</v>
      </c>
      <c r="F201" s="888">
        <f t="shared" si="45"/>
        <v>0</v>
      </c>
      <c r="G201" s="888">
        <f t="shared" si="45"/>
        <v>46031</v>
      </c>
      <c r="H201" s="888">
        <f t="shared" si="45"/>
        <v>580</v>
      </c>
      <c r="I201" s="888">
        <f t="shared" si="45"/>
        <v>26967</v>
      </c>
      <c r="J201" s="888">
        <f t="shared" si="45"/>
        <v>200</v>
      </c>
      <c r="K201" s="888">
        <f t="shared" si="45"/>
        <v>0</v>
      </c>
      <c r="L201" s="888">
        <f t="shared" si="45"/>
        <v>1271328</v>
      </c>
    </row>
    <row r="202" spans="1:12" ht="15" hidden="1">
      <c r="A202" s="507">
        <v>1</v>
      </c>
      <c r="B202" s="429" t="s">
        <v>131</v>
      </c>
      <c r="C202" s="887">
        <f>SUM(D202,K202,L202)</f>
        <v>954254</v>
      </c>
      <c r="D202" s="887">
        <f>SUM(E202:J202)</f>
        <v>75041</v>
      </c>
      <c r="E202" s="913">
        <v>31166</v>
      </c>
      <c r="F202" s="913"/>
      <c r="G202" s="913">
        <v>17808</v>
      </c>
      <c r="H202" s="913"/>
      <c r="I202" s="913">
        <v>25867</v>
      </c>
      <c r="J202" s="913">
        <v>200</v>
      </c>
      <c r="K202" s="913"/>
      <c r="L202" s="913">
        <v>879213</v>
      </c>
    </row>
    <row r="203" spans="1:12" ht="15" hidden="1">
      <c r="A203" s="507">
        <v>2</v>
      </c>
      <c r="B203" s="429" t="s">
        <v>132</v>
      </c>
      <c r="C203" s="887">
        <f>SUM(D203,K203,L203)</f>
        <v>438883</v>
      </c>
      <c r="D203" s="887">
        <f>SUM(E203:J203)</f>
        <v>46768</v>
      </c>
      <c r="E203" s="825">
        <v>16865</v>
      </c>
      <c r="F203" s="825">
        <v>0</v>
      </c>
      <c r="G203" s="825">
        <v>28223</v>
      </c>
      <c r="H203" s="825">
        <v>580</v>
      </c>
      <c r="I203" s="825">
        <v>1100</v>
      </c>
      <c r="J203" s="825">
        <v>0</v>
      </c>
      <c r="K203" s="825"/>
      <c r="L203" s="825">
        <v>392115</v>
      </c>
    </row>
    <row r="204" spans="1:12" ht="15" hidden="1">
      <c r="A204" s="508" t="s">
        <v>1</v>
      </c>
      <c r="B204" s="394" t="s">
        <v>133</v>
      </c>
      <c r="C204" s="887">
        <f>SUM(D204,K204,L204)</f>
        <v>215000</v>
      </c>
      <c r="D204" s="887">
        <f>SUM(E204:J204)</f>
        <v>0</v>
      </c>
      <c r="E204" s="826">
        <v>0</v>
      </c>
      <c r="F204" s="826"/>
      <c r="G204" s="826">
        <v>0</v>
      </c>
      <c r="H204" s="826"/>
      <c r="I204" s="826"/>
      <c r="J204" s="826"/>
      <c r="K204" s="826"/>
      <c r="L204" s="826">
        <v>215000</v>
      </c>
    </row>
    <row r="205" spans="1:12" ht="15" hidden="1">
      <c r="A205" s="508" t="s">
        <v>9</v>
      </c>
      <c r="B205" s="394" t="s">
        <v>134</v>
      </c>
      <c r="C205" s="887">
        <f>SUM(D205,K205,L205)</f>
        <v>0</v>
      </c>
      <c r="D205" s="887">
        <f>SUM(E205:J205)</f>
        <v>0</v>
      </c>
      <c r="E205" s="827"/>
      <c r="F205" s="827"/>
      <c r="G205" s="827"/>
      <c r="H205" s="827"/>
      <c r="I205" s="827"/>
      <c r="J205" s="827"/>
      <c r="K205" s="827"/>
      <c r="L205" s="827"/>
    </row>
    <row r="206" spans="1:12" ht="15" hidden="1">
      <c r="A206" s="508" t="s">
        <v>135</v>
      </c>
      <c r="B206" s="394" t="s">
        <v>136</v>
      </c>
      <c r="C206" s="889">
        <f>SUM(D206,K206,L206)</f>
        <v>1178137</v>
      </c>
      <c r="D206" s="889">
        <f>SUM(E206:J206)</f>
        <v>121809</v>
      </c>
      <c r="E206" s="890">
        <f aca="true" t="shared" si="46" ref="E206:L206">E201-SUM(E204,E205)</f>
        <v>48031</v>
      </c>
      <c r="F206" s="890">
        <f t="shared" si="46"/>
        <v>0</v>
      </c>
      <c r="G206" s="890">
        <f t="shared" si="46"/>
        <v>46031</v>
      </c>
      <c r="H206" s="891">
        <f t="shared" si="46"/>
        <v>580</v>
      </c>
      <c r="I206" s="890">
        <f t="shared" si="46"/>
        <v>26967</v>
      </c>
      <c r="J206" s="890">
        <f t="shared" si="46"/>
        <v>200</v>
      </c>
      <c r="K206" s="890">
        <f t="shared" si="46"/>
        <v>0</v>
      </c>
      <c r="L206" s="890">
        <f t="shared" si="46"/>
        <v>1056328</v>
      </c>
    </row>
    <row r="207" spans="1:12" ht="15" hidden="1">
      <c r="A207" s="508" t="s">
        <v>51</v>
      </c>
      <c r="B207" s="430" t="s">
        <v>137</v>
      </c>
      <c r="C207" s="889">
        <f>C208+C209+C210+C211+C212+C213+C214+C215</f>
        <v>440816</v>
      </c>
      <c r="D207" s="889">
        <f aca="true" t="shared" si="47" ref="D207:L207">D208+D209+D210+D211+D212+D213+D214+D215</f>
        <v>25844</v>
      </c>
      <c r="E207" s="889">
        <f t="shared" si="47"/>
        <v>18264</v>
      </c>
      <c r="F207" s="889">
        <f t="shared" si="47"/>
        <v>0</v>
      </c>
      <c r="G207" s="889">
        <f t="shared" si="47"/>
        <v>5900</v>
      </c>
      <c r="H207" s="889">
        <f t="shared" si="47"/>
        <v>580</v>
      </c>
      <c r="I207" s="889">
        <f t="shared" si="47"/>
        <v>1100</v>
      </c>
      <c r="J207" s="889">
        <f t="shared" si="47"/>
        <v>0</v>
      </c>
      <c r="K207" s="889">
        <f t="shared" si="47"/>
        <v>0</v>
      </c>
      <c r="L207" s="889">
        <f t="shared" si="47"/>
        <v>414972</v>
      </c>
    </row>
    <row r="208" spans="1:12" ht="15" hidden="1">
      <c r="A208" s="507" t="s">
        <v>53</v>
      </c>
      <c r="B208" s="429" t="s">
        <v>138</v>
      </c>
      <c r="C208" s="899">
        <f>SUM(D208,K208,L208)</f>
        <v>171235</v>
      </c>
      <c r="D208" s="899">
        <f>SUM(E208:J208)</f>
        <v>23444</v>
      </c>
      <c r="E208" s="825">
        <v>17864</v>
      </c>
      <c r="F208" s="825">
        <v>0</v>
      </c>
      <c r="G208" s="825">
        <v>4200</v>
      </c>
      <c r="H208" s="825">
        <v>580</v>
      </c>
      <c r="I208" s="825">
        <v>800</v>
      </c>
      <c r="J208" s="825">
        <v>0</v>
      </c>
      <c r="K208" s="825"/>
      <c r="L208" s="825">
        <v>147791</v>
      </c>
    </row>
    <row r="209" spans="1:12" ht="15" hidden="1">
      <c r="A209" s="507" t="s">
        <v>54</v>
      </c>
      <c r="B209" s="429" t="s">
        <v>139</v>
      </c>
      <c r="C209" s="887">
        <f>SUM(D209,K209,L209)</f>
        <v>21109</v>
      </c>
      <c r="D209" s="887">
        <f>SUM(E209:J209)</f>
        <v>1700</v>
      </c>
      <c r="E209" s="825">
        <v>0</v>
      </c>
      <c r="F209" s="825"/>
      <c r="G209" s="825">
        <v>1700</v>
      </c>
      <c r="H209" s="825"/>
      <c r="I209" s="825">
        <v>0</v>
      </c>
      <c r="J209" s="825"/>
      <c r="K209" s="825"/>
      <c r="L209" s="825">
        <v>19409</v>
      </c>
    </row>
    <row r="210" spans="1:12" ht="15" hidden="1">
      <c r="A210" s="507" t="s">
        <v>140</v>
      </c>
      <c r="B210" s="429" t="s">
        <v>201</v>
      </c>
      <c r="C210" s="887">
        <f>SUM(D210,K210,L210)</f>
        <v>0</v>
      </c>
      <c r="D210" s="887">
        <f>SUM(E210:J210)</f>
        <v>0</v>
      </c>
      <c r="E210" s="825"/>
      <c r="F210" s="825"/>
      <c r="G210" s="825">
        <v>0</v>
      </c>
      <c r="H210" s="825"/>
      <c r="I210" s="825">
        <v>0</v>
      </c>
      <c r="J210" s="825"/>
      <c r="K210" s="825"/>
      <c r="L210" s="825"/>
    </row>
    <row r="211" spans="1:12" ht="15" hidden="1">
      <c r="A211" s="507" t="s">
        <v>142</v>
      </c>
      <c r="B211" s="429" t="s">
        <v>141</v>
      </c>
      <c r="C211" s="899">
        <f>SUM(D211,K211,L211)</f>
        <v>248472</v>
      </c>
      <c r="D211" s="899">
        <f>SUM(E211:J211)</f>
        <v>700</v>
      </c>
      <c r="E211" s="825">
        <v>400</v>
      </c>
      <c r="F211" s="825"/>
      <c r="G211" s="825">
        <v>0</v>
      </c>
      <c r="H211" s="825"/>
      <c r="I211" s="825">
        <v>300</v>
      </c>
      <c r="J211" s="825">
        <v>0</v>
      </c>
      <c r="K211" s="825"/>
      <c r="L211" s="825">
        <v>247772</v>
      </c>
    </row>
    <row r="212" spans="1:12" ht="15" hidden="1">
      <c r="A212" s="507" t="s">
        <v>144</v>
      </c>
      <c r="B212" s="429" t="s">
        <v>143</v>
      </c>
      <c r="C212" s="887">
        <f>D212+K212+L212</f>
        <v>0</v>
      </c>
      <c r="D212" s="887">
        <f>E212+F212+G212+H212+I212+J212</f>
        <v>0</v>
      </c>
      <c r="E212" s="825"/>
      <c r="F212" s="825"/>
      <c r="G212" s="825"/>
      <c r="H212" s="825"/>
      <c r="I212" s="825"/>
      <c r="J212" s="825"/>
      <c r="K212" s="825"/>
      <c r="L212" s="825"/>
    </row>
    <row r="213" spans="1:12" ht="15" hidden="1">
      <c r="A213" s="507" t="s">
        <v>146</v>
      </c>
      <c r="B213" s="429" t="s">
        <v>145</v>
      </c>
      <c r="C213" s="887">
        <f>SUM(D213,K213,L213)</f>
        <v>0</v>
      </c>
      <c r="D213" s="887">
        <f>SUM(E213:J213)</f>
        <v>0</v>
      </c>
      <c r="E213" s="825"/>
      <c r="F213" s="825"/>
      <c r="G213" s="825"/>
      <c r="H213" s="825"/>
      <c r="I213" s="825"/>
      <c r="J213" s="825"/>
      <c r="K213" s="825"/>
      <c r="L213" s="825"/>
    </row>
    <row r="214" spans="1:12" ht="25.5" hidden="1">
      <c r="A214" s="507" t="s">
        <v>148</v>
      </c>
      <c r="B214" s="431" t="s">
        <v>147</v>
      </c>
      <c r="C214" s="887">
        <f>SUM(D214,K214,L214)</f>
        <v>0</v>
      </c>
      <c r="D214" s="887">
        <f>SUM(E214:J214)</f>
        <v>0</v>
      </c>
      <c r="E214" s="825"/>
      <c r="F214" s="825"/>
      <c r="G214" s="825"/>
      <c r="H214" s="825"/>
      <c r="I214" s="825"/>
      <c r="J214" s="825"/>
      <c r="K214" s="825"/>
      <c r="L214" s="825"/>
    </row>
    <row r="215" spans="1:12" ht="15" hidden="1">
      <c r="A215" s="507" t="s">
        <v>185</v>
      </c>
      <c r="B215" s="429" t="s">
        <v>149</v>
      </c>
      <c r="C215" s="887">
        <f>SUM(D215,K215,L215)</f>
        <v>0</v>
      </c>
      <c r="D215" s="887">
        <f>SUM(E215:J215)</f>
        <v>0</v>
      </c>
      <c r="E215" s="826"/>
      <c r="F215" s="826"/>
      <c r="G215" s="826"/>
      <c r="H215" s="826"/>
      <c r="I215" s="826"/>
      <c r="J215" s="826"/>
      <c r="K215" s="826"/>
      <c r="L215" s="826"/>
    </row>
    <row r="216" spans="1:12" ht="15" hidden="1">
      <c r="A216" s="508" t="s">
        <v>52</v>
      </c>
      <c r="B216" s="394" t="s">
        <v>150</v>
      </c>
      <c r="C216" s="889">
        <f>C201-C204-C207</f>
        <v>737321</v>
      </c>
      <c r="D216" s="889">
        <f>SUM(E216:J216)</f>
        <v>95965</v>
      </c>
      <c r="E216" s="889">
        <f>E206-E207</f>
        <v>29767</v>
      </c>
      <c r="F216" s="889">
        <f aca="true" t="shared" si="48" ref="F216:K216">F206-F207</f>
        <v>0</v>
      </c>
      <c r="G216" s="889">
        <f t="shared" si="48"/>
        <v>40131</v>
      </c>
      <c r="H216" s="889">
        <f t="shared" si="48"/>
        <v>0</v>
      </c>
      <c r="I216" s="889">
        <f t="shared" si="48"/>
        <v>25867</v>
      </c>
      <c r="J216" s="889">
        <f t="shared" si="48"/>
        <v>200</v>
      </c>
      <c r="K216" s="889">
        <f t="shared" si="48"/>
        <v>0</v>
      </c>
      <c r="L216" s="889">
        <f>L206-L207</f>
        <v>641356</v>
      </c>
    </row>
    <row r="217" spans="1:12" ht="25.5" hidden="1">
      <c r="A217" s="534" t="s">
        <v>540</v>
      </c>
      <c r="B217" s="488" t="s">
        <v>213</v>
      </c>
      <c r="C217" s="532">
        <f>(C208+C209+C210)/C207</f>
        <v>0.4363362491379623</v>
      </c>
      <c r="D217" s="532">
        <f aca="true" t="shared" si="49" ref="D217:L217">(D208+D209+D210)/D207</f>
        <v>0.9729144095341279</v>
      </c>
      <c r="E217" s="533">
        <f t="shared" si="49"/>
        <v>0.9780989925536575</v>
      </c>
      <c r="F217" s="533" t="e">
        <f t="shared" si="49"/>
        <v>#DIV/0!</v>
      </c>
      <c r="G217" s="533">
        <f t="shared" si="49"/>
        <v>1</v>
      </c>
      <c r="H217" s="533">
        <f t="shared" si="49"/>
        <v>1</v>
      </c>
      <c r="I217" s="533">
        <f t="shared" si="49"/>
        <v>0.7272727272727273</v>
      </c>
      <c r="J217" s="533" t="e">
        <f t="shared" si="49"/>
        <v>#DIV/0!</v>
      </c>
      <c r="K217" s="533" t="e">
        <f t="shared" si="49"/>
        <v>#DIV/0!</v>
      </c>
      <c r="L217" s="533">
        <f t="shared" si="49"/>
        <v>0.40291875114465553</v>
      </c>
    </row>
    <row r="218" ht="15" hidden="1"/>
    <row r="219" ht="15" hidden="1"/>
    <row r="220" ht="15" hidden="1">
      <c r="B220" s="477" t="s">
        <v>743</v>
      </c>
    </row>
    <row r="221" spans="1:12" ht="15" hidden="1">
      <c r="A221" s="1187" t="s">
        <v>70</v>
      </c>
      <c r="B221" s="1188"/>
      <c r="C221" s="1556" t="s">
        <v>37</v>
      </c>
      <c r="D221" s="1539" t="s">
        <v>337</v>
      </c>
      <c r="E221" s="1539"/>
      <c r="F221" s="1539"/>
      <c r="G221" s="1539"/>
      <c r="H221" s="1539"/>
      <c r="I221" s="1539"/>
      <c r="J221" s="1539"/>
      <c r="K221" s="1539"/>
      <c r="L221" s="1539"/>
    </row>
    <row r="222" spans="1:12" ht="15" hidden="1">
      <c r="A222" s="1189"/>
      <c r="B222" s="1190"/>
      <c r="C222" s="1556"/>
      <c r="D222" s="1540" t="s">
        <v>205</v>
      </c>
      <c r="E222" s="1541"/>
      <c r="F222" s="1541"/>
      <c r="G222" s="1541"/>
      <c r="H222" s="1541"/>
      <c r="I222" s="1541"/>
      <c r="J222" s="1542"/>
      <c r="K222" s="1543" t="s">
        <v>206</v>
      </c>
      <c r="L222" s="1543" t="s">
        <v>207</v>
      </c>
    </row>
    <row r="223" spans="1:12" ht="15" hidden="1">
      <c r="A223" s="1189"/>
      <c r="B223" s="1190"/>
      <c r="C223" s="1556"/>
      <c r="D223" s="1548" t="s">
        <v>36</v>
      </c>
      <c r="E223" s="1549" t="s">
        <v>7</v>
      </c>
      <c r="F223" s="1550"/>
      <c r="G223" s="1550"/>
      <c r="H223" s="1550"/>
      <c r="I223" s="1550"/>
      <c r="J223" s="1551"/>
      <c r="K223" s="1544"/>
      <c r="L223" s="1546"/>
    </row>
    <row r="224" spans="1:12" ht="15" hidden="1">
      <c r="A224" s="1554"/>
      <c r="B224" s="1555"/>
      <c r="C224" s="1556"/>
      <c r="D224" s="1548"/>
      <c r="E224" s="551" t="s">
        <v>208</v>
      </c>
      <c r="F224" s="551" t="s">
        <v>209</v>
      </c>
      <c r="G224" s="551" t="s">
        <v>210</v>
      </c>
      <c r="H224" s="551" t="s">
        <v>211</v>
      </c>
      <c r="I224" s="551" t="s">
        <v>344</v>
      </c>
      <c r="J224" s="551" t="s">
        <v>212</v>
      </c>
      <c r="K224" s="1545"/>
      <c r="L224" s="1547"/>
    </row>
    <row r="225" spans="1:12" ht="15" hidden="1">
      <c r="A225" s="1552" t="s">
        <v>6</v>
      </c>
      <c r="B225" s="1553"/>
      <c r="C225" s="481">
        <v>1</v>
      </c>
      <c r="D225" s="482">
        <v>2</v>
      </c>
      <c r="E225" s="481">
        <v>3</v>
      </c>
      <c r="F225" s="482">
        <v>4</v>
      </c>
      <c r="G225" s="481">
        <v>5</v>
      </c>
      <c r="H225" s="482">
        <v>6</v>
      </c>
      <c r="I225" s="481">
        <v>7</v>
      </c>
      <c r="J225" s="482">
        <v>8</v>
      </c>
      <c r="K225" s="481">
        <v>9</v>
      </c>
      <c r="L225" s="482">
        <v>10</v>
      </c>
    </row>
    <row r="226" spans="1:12" ht="15" hidden="1">
      <c r="A226" s="506" t="s">
        <v>0</v>
      </c>
      <c r="B226" s="427" t="s">
        <v>130</v>
      </c>
      <c r="C226" s="888">
        <f>D226+K226+L226</f>
        <v>1909627</v>
      </c>
      <c r="D226" s="888">
        <f>E226+F226+G226+H226+I226+J226</f>
        <v>100831</v>
      </c>
      <c r="E226" s="888">
        <f aca="true" t="shared" si="50" ref="E226:L226">E227+E228</f>
        <v>81329</v>
      </c>
      <c r="F226" s="888">
        <f t="shared" si="50"/>
        <v>0</v>
      </c>
      <c r="G226" s="888">
        <f t="shared" si="50"/>
        <v>0</v>
      </c>
      <c r="H226" s="888">
        <f t="shared" si="50"/>
        <v>0</v>
      </c>
      <c r="I226" s="888">
        <f t="shared" si="50"/>
        <v>11550</v>
      </c>
      <c r="J226" s="888">
        <f t="shared" si="50"/>
        <v>7952</v>
      </c>
      <c r="K226" s="888">
        <f t="shared" si="50"/>
        <v>0</v>
      </c>
      <c r="L226" s="888">
        <f t="shared" si="50"/>
        <v>1808796</v>
      </c>
    </row>
    <row r="227" spans="1:12" ht="15.75" hidden="1">
      <c r="A227" s="507">
        <v>1</v>
      </c>
      <c r="B227" s="429" t="s">
        <v>131</v>
      </c>
      <c r="C227" s="887">
        <f>SUM(D227,K227,L227)</f>
        <v>437156</v>
      </c>
      <c r="D227" s="887">
        <f>SUM(E227:J227)</f>
        <v>21290</v>
      </c>
      <c r="E227" s="989">
        <v>9740</v>
      </c>
      <c r="F227" s="989">
        <v>0</v>
      </c>
      <c r="G227" s="989"/>
      <c r="H227" s="989">
        <v>0</v>
      </c>
      <c r="I227" s="989">
        <v>11550</v>
      </c>
      <c r="J227" s="989"/>
      <c r="K227" s="924">
        <v>0</v>
      </c>
      <c r="L227" s="924">
        <v>415866</v>
      </c>
    </row>
    <row r="228" spans="1:12" ht="15.75" hidden="1">
      <c r="A228" s="507">
        <v>2</v>
      </c>
      <c r="B228" s="429" t="s">
        <v>132</v>
      </c>
      <c r="C228" s="887">
        <f>SUM(D228,K228,L228)</f>
        <v>1472471</v>
      </c>
      <c r="D228" s="887">
        <f>SUM(E228:J228)</f>
        <v>79541</v>
      </c>
      <c r="E228" s="990">
        <v>71589</v>
      </c>
      <c r="F228" s="991">
        <v>0</v>
      </c>
      <c r="G228" s="991">
        <v>0</v>
      </c>
      <c r="H228" s="991">
        <v>0</v>
      </c>
      <c r="I228" s="990"/>
      <c r="J228" s="1138">
        <v>7952</v>
      </c>
      <c r="K228" s="991"/>
      <c r="L228" s="1138">
        <v>1392930</v>
      </c>
    </row>
    <row r="229" spans="1:12" ht="15.75" hidden="1">
      <c r="A229" s="508" t="s">
        <v>1</v>
      </c>
      <c r="B229" s="394" t="s">
        <v>133</v>
      </c>
      <c r="C229" s="887">
        <f>SUM(D229,K229,L229)</f>
        <v>0</v>
      </c>
      <c r="D229" s="887">
        <f>SUM(E229:J229)</f>
        <v>0</v>
      </c>
      <c r="E229" s="991"/>
      <c r="F229" s="991"/>
      <c r="G229" s="991"/>
      <c r="H229" s="991"/>
      <c r="I229" s="991"/>
      <c r="J229" s="991"/>
      <c r="K229" s="991"/>
      <c r="L229" s="991"/>
    </row>
    <row r="230" spans="1:12" ht="0.75" customHeight="1" hidden="1">
      <c r="A230" s="508" t="s">
        <v>9</v>
      </c>
      <c r="B230" s="394" t="s">
        <v>134</v>
      </c>
      <c r="C230" s="887">
        <f>SUM(D230,K230,L230)</f>
        <v>0</v>
      </c>
      <c r="D230" s="887">
        <f>SUM(E230:J230)</f>
        <v>0</v>
      </c>
      <c r="E230" s="827"/>
      <c r="F230" s="827"/>
      <c r="G230" s="827"/>
      <c r="H230" s="827"/>
      <c r="I230" s="827"/>
      <c r="J230" s="827"/>
      <c r="K230" s="827"/>
      <c r="L230" s="827"/>
    </row>
    <row r="231" spans="1:12" ht="15" hidden="1">
      <c r="A231" s="508" t="s">
        <v>135</v>
      </c>
      <c r="B231" s="394" t="s">
        <v>136</v>
      </c>
      <c r="C231" s="889">
        <f>SUM(D231,K231,L231)</f>
        <v>1909627</v>
      </c>
      <c r="D231" s="889">
        <f>SUM(E231:J231)</f>
        <v>100831</v>
      </c>
      <c r="E231" s="890">
        <f aca="true" t="shared" si="51" ref="E231:L231">E226-SUM(E229,E230)</f>
        <v>81329</v>
      </c>
      <c r="F231" s="890">
        <f t="shared" si="51"/>
        <v>0</v>
      </c>
      <c r="G231" s="890">
        <f t="shared" si="51"/>
        <v>0</v>
      </c>
      <c r="H231" s="891">
        <f t="shared" si="51"/>
        <v>0</v>
      </c>
      <c r="I231" s="890">
        <f t="shared" si="51"/>
        <v>11550</v>
      </c>
      <c r="J231" s="890">
        <f t="shared" si="51"/>
        <v>7952</v>
      </c>
      <c r="K231" s="890">
        <f t="shared" si="51"/>
        <v>0</v>
      </c>
      <c r="L231" s="890">
        <f t="shared" si="51"/>
        <v>1808796</v>
      </c>
    </row>
    <row r="232" spans="1:12" ht="15" hidden="1">
      <c r="A232" s="508" t="s">
        <v>51</v>
      </c>
      <c r="B232" s="430" t="s">
        <v>137</v>
      </c>
      <c r="C232" s="889">
        <f>C233+C234+C235+C236+C237+C238+C239+C240</f>
        <v>1419654</v>
      </c>
      <c r="D232" s="889">
        <f aca="true" t="shared" si="52" ref="D232:L232">D233+D234+D235+D236+D237+D238+D239+D240</f>
        <v>79541</v>
      </c>
      <c r="E232" s="889">
        <f t="shared" si="52"/>
        <v>71589</v>
      </c>
      <c r="F232" s="889">
        <f t="shared" si="52"/>
        <v>0</v>
      </c>
      <c r="G232" s="889">
        <f t="shared" si="52"/>
        <v>0</v>
      </c>
      <c r="H232" s="889">
        <f t="shared" si="52"/>
        <v>0</v>
      </c>
      <c r="I232" s="889">
        <f t="shared" si="52"/>
        <v>0</v>
      </c>
      <c r="J232" s="889">
        <f t="shared" si="52"/>
        <v>7952</v>
      </c>
      <c r="K232" s="889">
        <f t="shared" si="52"/>
        <v>0</v>
      </c>
      <c r="L232" s="889">
        <f t="shared" si="52"/>
        <v>1340113</v>
      </c>
    </row>
    <row r="233" spans="1:12" ht="15.75" hidden="1">
      <c r="A233" s="507" t="s">
        <v>53</v>
      </c>
      <c r="B233" s="429" t="s">
        <v>138</v>
      </c>
      <c r="C233" s="899">
        <f>SUM(D233,K233,L233)</f>
        <v>194692</v>
      </c>
      <c r="D233" s="899">
        <f>SUM(E233:J233)</f>
        <v>36403</v>
      </c>
      <c r="E233" s="992">
        <v>28451</v>
      </c>
      <c r="F233" s="993"/>
      <c r="G233" s="993"/>
      <c r="H233" s="993"/>
      <c r="I233" s="992"/>
      <c r="J233" s="1139">
        <v>7952</v>
      </c>
      <c r="K233" s="993"/>
      <c r="L233" s="1139">
        <v>158289</v>
      </c>
    </row>
    <row r="234" spans="1:12" ht="15.75" hidden="1">
      <c r="A234" s="507" t="s">
        <v>54</v>
      </c>
      <c r="B234" s="429" t="s">
        <v>139</v>
      </c>
      <c r="C234" s="887">
        <f>SUM(D234,K234,L234)</f>
        <v>21083</v>
      </c>
      <c r="D234" s="887">
        <f>SUM(E234:J234)</f>
        <v>0</v>
      </c>
      <c r="E234" s="993"/>
      <c r="F234" s="993"/>
      <c r="G234" s="993"/>
      <c r="H234" s="993"/>
      <c r="I234" s="993"/>
      <c r="J234" s="1140">
        <v>0</v>
      </c>
      <c r="K234" s="993"/>
      <c r="L234" s="1139">
        <v>21083</v>
      </c>
    </row>
    <row r="235" spans="1:12" ht="15.75" hidden="1">
      <c r="A235" s="507" t="s">
        <v>140</v>
      </c>
      <c r="B235" s="429" t="s">
        <v>201</v>
      </c>
      <c r="C235" s="887">
        <f>SUM(D235,K235,L235)</f>
        <v>0</v>
      </c>
      <c r="D235" s="887">
        <f>SUM(E235:J235)</f>
        <v>0</v>
      </c>
      <c r="E235" s="993"/>
      <c r="F235" s="993"/>
      <c r="G235" s="993"/>
      <c r="H235" s="993"/>
      <c r="I235" s="993"/>
      <c r="J235" s="993"/>
      <c r="K235" s="993"/>
      <c r="L235" s="992"/>
    </row>
    <row r="236" spans="1:12" ht="15.75" hidden="1">
      <c r="A236" s="507" t="s">
        <v>142</v>
      </c>
      <c r="B236" s="429" t="s">
        <v>141</v>
      </c>
      <c r="C236" s="899">
        <f>SUM(D236,K236,L236)</f>
        <v>1203879</v>
      </c>
      <c r="D236" s="899">
        <f>SUM(E236:J236)</f>
        <v>43138</v>
      </c>
      <c r="E236" s="992">
        <v>43138</v>
      </c>
      <c r="F236" s="993"/>
      <c r="G236" s="993"/>
      <c r="H236" s="993"/>
      <c r="I236" s="993"/>
      <c r="J236" s="1139">
        <v>0</v>
      </c>
      <c r="K236" s="993"/>
      <c r="L236" s="1139">
        <v>1160741</v>
      </c>
    </row>
    <row r="237" spans="1:12" ht="15.75" hidden="1">
      <c r="A237" s="507" t="s">
        <v>144</v>
      </c>
      <c r="B237" s="429" t="s">
        <v>143</v>
      </c>
      <c r="C237" s="887">
        <f>D237+K237+L237</f>
        <v>0</v>
      </c>
      <c r="D237" s="887">
        <f>E237+F237+G237+H237+I237+J237</f>
        <v>0</v>
      </c>
      <c r="E237" s="991"/>
      <c r="F237" s="991"/>
      <c r="G237" s="991"/>
      <c r="H237" s="991"/>
      <c r="I237" s="991"/>
      <c r="J237" s="991"/>
      <c r="K237" s="991"/>
      <c r="L237" s="991"/>
    </row>
    <row r="238" spans="1:12" ht="15.75" hidden="1">
      <c r="A238" s="507" t="s">
        <v>146</v>
      </c>
      <c r="B238" s="429" t="s">
        <v>145</v>
      </c>
      <c r="C238" s="887">
        <f>SUM(D238,K238,L238)</f>
        <v>0</v>
      </c>
      <c r="D238" s="887">
        <f>SUM(E238:J238)</f>
        <v>0</v>
      </c>
      <c r="E238" s="993"/>
      <c r="F238" s="993"/>
      <c r="G238" s="993"/>
      <c r="H238" s="993"/>
      <c r="I238" s="993"/>
      <c r="J238" s="993"/>
      <c r="K238" s="993"/>
      <c r="L238" s="993"/>
    </row>
    <row r="239" spans="1:12" ht="25.5" hidden="1">
      <c r="A239" s="507" t="s">
        <v>148</v>
      </c>
      <c r="B239" s="431" t="s">
        <v>147</v>
      </c>
      <c r="C239" s="887">
        <f>SUM(D239,K239,L239)</f>
        <v>0</v>
      </c>
      <c r="D239" s="887">
        <f>SUM(E239:J239)</f>
        <v>0</v>
      </c>
      <c r="E239" s="993"/>
      <c r="F239" s="993"/>
      <c r="G239" s="993"/>
      <c r="H239" s="993"/>
      <c r="I239" s="993"/>
      <c r="J239" s="993"/>
      <c r="K239" s="993"/>
      <c r="L239" s="993"/>
    </row>
    <row r="240" spans="1:12" ht="15.75" hidden="1">
      <c r="A240" s="507" t="s">
        <v>185</v>
      </c>
      <c r="B240" s="429" t="s">
        <v>149</v>
      </c>
      <c r="C240" s="887">
        <f>SUM(D240,K240,L240)</f>
        <v>0</v>
      </c>
      <c r="D240" s="887">
        <f>SUM(E240:J240)</f>
        <v>0</v>
      </c>
      <c r="E240" s="991"/>
      <c r="F240" s="991"/>
      <c r="G240" s="991"/>
      <c r="H240" s="991"/>
      <c r="I240" s="991"/>
      <c r="J240" s="991"/>
      <c r="K240" s="991"/>
      <c r="L240" s="991"/>
    </row>
    <row r="241" spans="1:12" ht="15" hidden="1">
      <c r="A241" s="508" t="s">
        <v>52</v>
      </c>
      <c r="B241" s="394" t="s">
        <v>150</v>
      </c>
      <c r="C241" s="889">
        <f>C226-C229-C232</f>
        <v>489973</v>
      </c>
      <c r="D241" s="889">
        <f>SUM(E241:J241)</f>
        <v>21290</v>
      </c>
      <c r="E241" s="889">
        <f>E231-E232</f>
        <v>9740</v>
      </c>
      <c r="F241" s="889">
        <f aca="true" t="shared" si="53" ref="F241:K241">F231-F232</f>
        <v>0</v>
      </c>
      <c r="G241" s="889">
        <f t="shared" si="53"/>
        <v>0</v>
      </c>
      <c r="H241" s="889">
        <f t="shared" si="53"/>
        <v>0</v>
      </c>
      <c r="I241" s="889">
        <f t="shared" si="53"/>
        <v>11550</v>
      </c>
      <c r="J241" s="889">
        <f t="shared" si="53"/>
        <v>0</v>
      </c>
      <c r="K241" s="889">
        <f t="shared" si="53"/>
        <v>0</v>
      </c>
      <c r="L241" s="889">
        <f>L231-L232</f>
        <v>468683</v>
      </c>
    </row>
    <row r="242" spans="1:12" ht="25.5" hidden="1">
      <c r="A242" s="534" t="s">
        <v>540</v>
      </c>
      <c r="B242" s="488" t="s">
        <v>213</v>
      </c>
      <c r="C242" s="532">
        <f>(C233+C234+C235)/C232</f>
        <v>0.1519912598421869</v>
      </c>
      <c r="D242" s="532">
        <f aca="true" t="shared" si="54" ref="D242:L242">(D233+D234+D235)/D232</f>
        <v>0.4576633434329465</v>
      </c>
      <c r="E242" s="533">
        <f t="shared" si="54"/>
        <v>0.39742139155456846</v>
      </c>
      <c r="F242" s="533" t="e">
        <f t="shared" si="54"/>
        <v>#DIV/0!</v>
      </c>
      <c r="G242" s="533" t="e">
        <f t="shared" si="54"/>
        <v>#DIV/0!</v>
      </c>
      <c r="H242" s="533" t="e">
        <f t="shared" si="54"/>
        <v>#DIV/0!</v>
      </c>
      <c r="I242" s="533" t="e">
        <f t="shared" si="54"/>
        <v>#DIV/0!</v>
      </c>
      <c r="J242" s="533">
        <f t="shared" si="54"/>
        <v>1</v>
      </c>
      <c r="K242" s="533" t="e">
        <f t="shared" si="54"/>
        <v>#DIV/0!</v>
      </c>
      <c r="L242" s="533">
        <f t="shared" si="54"/>
        <v>0.13384841427551258</v>
      </c>
    </row>
    <row r="243" ht="15" hidden="1"/>
    <row r="244" ht="15" hidden="1"/>
    <row r="245" ht="15" hidden="1"/>
  </sheetData>
  <sheetProtection/>
  <mergeCells count="105">
    <mergeCell ref="I30:L30"/>
    <mergeCell ref="E8:J8"/>
    <mergeCell ref="K2:L2"/>
    <mergeCell ref="K3:L3"/>
    <mergeCell ref="M9:P9"/>
    <mergeCell ref="B32:C32"/>
    <mergeCell ref="C6:C9"/>
    <mergeCell ref="D8:D9"/>
    <mergeCell ref="A10:B10"/>
    <mergeCell ref="A6:B9"/>
    <mergeCell ref="A28:B28"/>
    <mergeCell ref="A29:B29"/>
    <mergeCell ref="A39:D39"/>
    <mergeCell ref="E5:I5"/>
    <mergeCell ref="H39:L39"/>
    <mergeCell ref="A1:B1"/>
    <mergeCell ref="A3:B3"/>
    <mergeCell ref="D1:J1"/>
    <mergeCell ref="D3:J3"/>
    <mergeCell ref="K1:L1"/>
    <mergeCell ref="A2:C2"/>
    <mergeCell ref="D2:J2"/>
    <mergeCell ref="K4:L4"/>
    <mergeCell ref="K5:L5"/>
    <mergeCell ref="D6:L6"/>
    <mergeCell ref="D7:J7"/>
    <mergeCell ref="K7:K9"/>
    <mergeCell ref="L7:L9"/>
    <mergeCell ref="G32:L32"/>
    <mergeCell ref="A31:D31"/>
    <mergeCell ref="H31:L31"/>
    <mergeCell ref="B34:C34"/>
    <mergeCell ref="N6:P6"/>
    <mergeCell ref="A47:B50"/>
    <mergeCell ref="C47:C50"/>
    <mergeCell ref="D47:L47"/>
    <mergeCell ref="D48:J48"/>
    <mergeCell ref="K48:K50"/>
    <mergeCell ref="L48:L50"/>
    <mergeCell ref="D49:D50"/>
    <mergeCell ref="E49:J49"/>
    <mergeCell ref="A51:B51"/>
    <mergeCell ref="A72:B75"/>
    <mergeCell ref="C72:C75"/>
    <mergeCell ref="D72:L72"/>
    <mergeCell ref="D73:J73"/>
    <mergeCell ref="K73:K75"/>
    <mergeCell ref="L73:L75"/>
    <mergeCell ref="D74:D75"/>
    <mergeCell ref="E74:J74"/>
    <mergeCell ref="A76:B76"/>
    <mergeCell ref="A96:B99"/>
    <mergeCell ref="C96:C99"/>
    <mergeCell ref="D96:L96"/>
    <mergeCell ref="D97:J97"/>
    <mergeCell ref="K97:K99"/>
    <mergeCell ref="L97:L99"/>
    <mergeCell ref="D98:D99"/>
    <mergeCell ref="E98:J98"/>
    <mergeCell ref="A100:B100"/>
    <mergeCell ref="A121:B124"/>
    <mergeCell ref="C121:C124"/>
    <mergeCell ref="D121:L121"/>
    <mergeCell ref="D122:J122"/>
    <mergeCell ref="K122:K124"/>
    <mergeCell ref="L122:L124"/>
    <mergeCell ref="D123:D124"/>
    <mergeCell ref="E123:J123"/>
    <mergeCell ref="A125:B125"/>
    <mergeCell ref="A146:B149"/>
    <mergeCell ref="C146:C149"/>
    <mergeCell ref="D146:L146"/>
    <mergeCell ref="D147:J147"/>
    <mergeCell ref="K147:K149"/>
    <mergeCell ref="L147:L149"/>
    <mergeCell ref="D148:D149"/>
    <mergeCell ref="E148:J148"/>
    <mergeCell ref="A150:B150"/>
    <mergeCell ref="A171:B174"/>
    <mergeCell ref="C171:C174"/>
    <mergeCell ref="D171:L171"/>
    <mergeCell ref="D172:J172"/>
    <mergeCell ref="K172:K174"/>
    <mergeCell ref="L172:L174"/>
    <mergeCell ref="D173:D174"/>
    <mergeCell ref="E173:J173"/>
    <mergeCell ref="D196:L196"/>
    <mergeCell ref="D197:J197"/>
    <mergeCell ref="K197:K199"/>
    <mergeCell ref="L197:L199"/>
    <mergeCell ref="D198:D199"/>
    <mergeCell ref="E198:J198"/>
    <mergeCell ref="A225:B225"/>
    <mergeCell ref="A200:B200"/>
    <mergeCell ref="A221:B224"/>
    <mergeCell ref="C221:C224"/>
    <mergeCell ref="A175:B175"/>
    <mergeCell ref="A196:B199"/>
    <mergeCell ref="C196:C199"/>
    <mergeCell ref="D221:L221"/>
    <mergeCell ref="D222:J222"/>
    <mergeCell ref="K222:K224"/>
    <mergeCell ref="L222:L224"/>
    <mergeCell ref="D223:D224"/>
    <mergeCell ref="E223:J223"/>
  </mergeCells>
  <conditionalFormatting sqref="C11">
    <cfRule type="cellIs" priority="17" dxfId="18" operator="equal" stopIfTrue="1">
      <formula>"Kiểm tra lại"</formula>
    </cfRule>
  </conditionalFormatting>
  <conditionalFormatting sqref="C17:L17">
    <cfRule type="cellIs" priority="18" dxfId="19" operator="equal" stopIfTrue="1">
      <formula>"Kiểm tra lại"</formula>
    </cfRule>
  </conditionalFormatting>
  <conditionalFormatting sqref="C52">
    <cfRule type="cellIs" priority="16" dxfId="18" operator="equal" stopIfTrue="1">
      <formula>"Kiểm tra lại"</formula>
    </cfRule>
  </conditionalFormatting>
  <conditionalFormatting sqref="C58:L58">
    <cfRule type="cellIs" priority="15" dxfId="19" operator="equal" stopIfTrue="1">
      <formula>"Kiểm tra lại"</formula>
    </cfRule>
  </conditionalFormatting>
  <conditionalFormatting sqref="C77">
    <cfRule type="cellIs" priority="14" dxfId="18" operator="equal" stopIfTrue="1">
      <formula>"Kiểm tra lại"</formula>
    </cfRule>
  </conditionalFormatting>
  <conditionalFormatting sqref="C83:L83">
    <cfRule type="cellIs" priority="13" dxfId="19" operator="equal" stopIfTrue="1">
      <formula>"Kiểm tra lại"</formula>
    </cfRule>
  </conditionalFormatting>
  <conditionalFormatting sqref="C101">
    <cfRule type="cellIs" priority="12" dxfId="18" operator="equal" stopIfTrue="1">
      <formula>"Kiểm tra lại"</formula>
    </cfRule>
  </conditionalFormatting>
  <conditionalFormatting sqref="C107:L107">
    <cfRule type="cellIs" priority="11" dxfId="19" operator="equal" stopIfTrue="1">
      <formula>"Kiểm tra lại"</formula>
    </cfRule>
  </conditionalFormatting>
  <conditionalFormatting sqref="C126">
    <cfRule type="cellIs" priority="10" dxfId="18" operator="equal" stopIfTrue="1">
      <formula>"Kiểm tra lại"</formula>
    </cfRule>
  </conditionalFormatting>
  <conditionalFormatting sqref="C132:L132">
    <cfRule type="cellIs" priority="9" dxfId="19" operator="equal" stopIfTrue="1">
      <formula>"Kiểm tra lại"</formula>
    </cfRule>
  </conditionalFormatting>
  <conditionalFormatting sqref="C151">
    <cfRule type="cellIs" priority="8" dxfId="18" operator="equal" stopIfTrue="1">
      <formula>"Kiểm tra lại"</formula>
    </cfRule>
  </conditionalFormatting>
  <conditionalFormatting sqref="C157:L157">
    <cfRule type="cellIs" priority="7" dxfId="19" operator="equal" stopIfTrue="1">
      <formula>"Kiểm tra lại"</formula>
    </cfRule>
  </conditionalFormatting>
  <conditionalFormatting sqref="C176">
    <cfRule type="cellIs" priority="6" dxfId="18" operator="equal" stopIfTrue="1">
      <formula>"Kiểm tra lại"</formula>
    </cfRule>
  </conditionalFormatting>
  <conditionalFormatting sqref="C182:L182">
    <cfRule type="cellIs" priority="5" dxfId="19" operator="equal" stopIfTrue="1">
      <formula>"Kiểm tra lại"</formula>
    </cfRule>
  </conditionalFormatting>
  <conditionalFormatting sqref="C201">
    <cfRule type="cellIs" priority="4" dxfId="18" operator="equal" stopIfTrue="1">
      <formula>"Kiểm tra lại"</formula>
    </cfRule>
  </conditionalFormatting>
  <conditionalFormatting sqref="C207:L207">
    <cfRule type="cellIs" priority="3" dxfId="19" operator="equal" stopIfTrue="1">
      <formula>"Kiểm tra lại"</formula>
    </cfRule>
  </conditionalFormatting>
  <conditionalFormatting sqref="C226">
    <cfRule type="cellIs" priority="2" dxfId="18" operator="equal" stopIfTrue="1">
      <formula>"Kiểm tra lại"</formula>
    </cfRule>
  </conditionalFormatting>
  <conditionalFormatting sqref="C232:L232">
    <cfRule type="cellIs" priority="1" dxfId="19" operator="equal" stopIfTrue="1">
      <formula>"Kiểm tra lại"</formula>
    </cfRule>
  </conditionalFormatting>
  <printOptions/>
  <pageMargins left="0.34" right="0" top="0.1968503937007874" bottom="0" header="0.1968503937007874" footer="0.1968503937007874"/>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72"/>
  <sheetViews>
    <sheetView showZeros="0" zoomScaleSheetLayoutView="85" zoomScalePageLayoutView="0" workbookViewId="0" topLeftCell="A7">
      <pane xSplit="1" ySplit="5" topLeftCell="B30" activePane="bottomRight" state="frozen"/>
      <selection pane="topLeft" activeCell="A7" sqref="A7"/>
      <selection pane="topRight" activeCell="B7" sqref="B7"/>
      <selection pane="bottomLeft" activeCell="A12" sqref="A12"/>
      <selection pane="bottomRight" activeCell="J57" sqref="J57"/>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6.50390625" style="26" customWidth="1"/>
    <col min="20" max="16384" width="9.00390625" style="26" customWidth="1"/>
  </cols>
  <sheetData>
    <row r="1" spans="1:19" ht="20.25" customHeight="1">
      <c r="A1" s="450" t="s">
        <v>33</v>
      </c>
      <c r="B1" s="450"/>
      <c r="C1" s="450"/>
      <c r="E1" s="1522" t="s">
        <v>82</v>
      </c>
      <c r="F1" s="1522"/>
      <c r="G1" s="1522"/>
      <c r="H1" s="1522"/>
      <c r="I1" s="1522"/>
      <c r="J1" s="1522"/>
      <c r="K1" s="1522"/>
      <c r="L1" s="1522"/>
      <c r="M1" s="1522"/>
      <c r="N1" s="1522"/>
      <c r="O1" s="1522"/>
      <c r="P1" s="409" t="s">
        <v>561</v>
      </c>
      <c r="Q1" s="409"/>
      <c r="R1" s="409"/>
      <c r="S1" s="409"/>
    </row>
    <row r="2" spans="1:19" ht="17.25" customHeight="1">
      <c r="A2" s="1574" t="s">
        <v>342</v>
      </c>
      <c r="B2" s="1574"/>
      <c r="C2" s="1574"/>
      <c r="D2" s="1574"/>
      <c r="E2" s="1521" t="s">
        <v>41</v>
      </c>
      <c r="F2" s="1521"/>
      <c r="G2" s="1521"/>
      <c r="H2" s="1521"/>
      <c r="I2" s="1521"/>
      <c r="J2" s="1521"/>
      <c r="K2" s="1521"/>
      <c r="L2" s="1521"/>
      <c r="M2" s="1521"/>
      <c r="N2" s="1521"/>
      <c r="O2" s="1521"/>
      <c r="P2" s="1575" t="str">
        <f>'Thong tin'!B4</f>
        <v>Cục THADS tỉnh Tuyên Quang</v>
      </c>
      <c r="Q2" s="1575"/>
      <c r="R2" s="1575"/>
      <c r="S2" s="1575"/>
    </row>
    <row r="3" spans="1:19" ht="19.5" customHeight="1">
      <c r="A3" s="1574" t="s">
        <v>343</v>
      </c>
      <c r="B3" s="1574"/>
      <c r="C3" s="1574"/>
      <c r="D3" s="1574"/>
      <c r="E3" s="1586" t="str">
        <f>'Thong tin'!B3</f>
        <v>06 tháng / năm 2017</v>
      </c>
      <c r="F3" s="1586"/>
      <c r="G3" s="1586"/>
      <c r="H3" s="1586"/>
      <c r="I3" s="1586"/>
      <c r="J3" s="1586"/>
      <c r="K3" s="1586"/>
      <c r="L3" s="1586"/>
      <c r="M3" s="1586"/>
      <c r="N3" s="1586"/>
      <c r="O3" s="1586"/>
      <c r="P3" s="409" t="s">
        <v>562</v>
      </c>
      <c r="Q3" s="450"/>
      <c r="R3" s="409"/>
      <c r="S3" s="409"/>
    </row>
    <row r="4" spans="1:19" ht="14.25" customHeight="1">
      <c r="A4" s="412" t="s">
        <v>215</v>
      </c>
      <c r="B4" s="450"/>
      <c r="C4" s="450"/>
      <c r="D4" s="450"/>
      <c r="E4" s="450"/>
      <c r="F4" s="450"/>
      <c r="G4" s="450"/>
      <c r="H4" s="450"/>
      <c r="I4" s="450"/>
      <c r="J4" s="450"/>
      <c r="K4" s="450"/>
      <c r="L4" s="450"/>
      <c r="M4" s="450"/>
      <c r="N4" s="492"/>
      <c r="O4" s="492"/>
      <c r="P4" s="1594" t="s">
        <v>410</v>
      </c>
      <c r="Q4" s="1594"/>
      <c r="R4" s="1594"/>
      <c r="S4" s="1594"/>
    </row>
    <row r="5" spans="2:19" ht="21.75" customHeight="1">
      <c r="B5" s="446"/>
      <c r="C5" s="446"/>
      <c r="Q5" s="493" t="s">
        <v>341</v>
      </c>
      <c r="R5" s="494"/>
      <c r="S5" s="494"/>
    </row>
    <row r="6" spans="1:19" ht="18.75" customHeight="1">
      <c r="A6" s="1187" t="s">
        <v>71</v>
      </c>
      <c r="B6" s="1188"/>
      <c r="C6" s="1583" t="s">
        <v>216</v>
      </c>
      <c r="D6" s="1584"/>
      <c r="E6" s="1585"/>
      <c r="F6" s="1587" t="s">
        <v>133</v>
      </c>
      <c r="G6" s="1172" t="s">
        <v>217</v>
      </c>
      <c r="H6" s="1591" t="s">
        <v>136</v>
      </c>
      <c r="I6" s="1592"/>
      <c r="J6" s="1592"/>
      <c r="K6" s="1592"/>
      <c r="L6" s="1592"/>
      <c r="M6" s="1592"/>
      <c r="N6" s="1592"/>
      <c r="O6" s="1592"/>
      <c r="P6" s="1592"/>
      <c r="Q6" s="1593"/>
      <c r="R6" s="1580" t="s">
        <v>352</v>
      </c>
      <c r="S6" s="1580" t="s">
        <v>564</v>
      </c>
    </row>
    <row r="7" spans="1:19" s="409" customFormat="1" ht="18.75" customHeight="1">
      <c r="A7" s="1189"/>
      <c r="B7" s="1190"/>
      <c r="C7" s="1580" t="s">
        <v>50</v>
      </c>
      <c r="D7" s="1598" t="s">
        <v>7</v>
      </c>
      <c r="E7" s="1599"/>
      <c r="F7" s="1588"/>
      <c r="G7" s="1590"/>
      <c r="H7" s="1172" t="s">
        <v>136</v>
      </c>
      <c r="I7" s="1583" t="s">
        <v>137</v>
      </c>
      <c r="J7" s="1584"/>
      <c r="K7" s="1584"/>
      <c r="L7" s="1584"/>
      <c r="M7" s="1584"/>
      <c r="N7" s="1584"/>
      <c r="O7" s="1584"/>
      <c r="P7" s="1585"/>
      <c r="Q7" s="1172" t="s">
        <v>150</v>
      </c>
      <c r="R7" s="1581"/>
      <c r="S7" s="1581"/>
    </row>
    <row r="8" spans="1:19" ht="18.75" customHeight="1">
      <c r="A8" s="1189"/>
      <c r="B8" s="1190"/>
      <c r="C8" s="1581"/>
      <c r="D8" s="1600" t="s">
        <v>219</v>
      </c>
      <c r="E8" s="1600" t="s">
        <v>220</v>
      </c>
      <c r="F8" s="1588"/>
      <c r="G8" s="1590"/>
      <c r="H8" s="1590"/>
      <c r="I8" s="1172" t="s">
        <v>563</v>
      </c>
      <c r="J8" s="1598" t="s">
        <v>7</v>
      </c>
      <c r="K8" s="1602"/>
      <c r="L8" s="1602"/>
      <c r="M8" s="1602"/>
      <c r="N8" s="1602"/>
      <c r="O8" s="1602"/>
      <c r="P8" s="1599"/>
      <c r="Q8" s="1590"/>
      <c r="R8" s="1581"/>
      <c r="S8" s="1581"/>
    </row>
    <row r="9" spans="1:19" ht="134.25" customHeight="1">
      <c r="A9" s="1554"/>
      <c r="B9" s="1555"/>
      <c r="C9" s="1582"/>
      <c r="D9" s="1601"/>
      <c r="E9" s="1601"/>
      <c r="F9" s="1589"/>
      <c r="G9" s="1579"/>
      <c r="H9" s="1579"/>
      <c r="I9" s="1579"/>
      <c r="J9" s="495" t="s">
        <v>221</v>
      </c>
      <c r="K9" s="495" t="s">
        <v>222</v>
      </c>
      <c r="L9" s="496" t="s">
        <v>141</v>
      </c>
      <c r="M9" s="496" t="s">
        <v>223</v>
      </c>
      <c r="N9" s="496" t="s">
        <v>145</v>
      </c>
      <c r="O9" s="496" t="s">
        <v>353</v>
      </c>
      <c r="P9" s="496" t="s">
        <v>149</v>
      </c>
      <c r="Q9" s="1579"/>
      <c r="R9" s="1582"/>
      <c r="S9" s="1582"/>
    </row>
    <row r="10" spans="1:19" ht="22.5" customHeight="1">
      <c r="A10" s="1603" t="s">
        <v>6</v>
      </c>
      <c r="B10" s="1604"/>
      <c r="C10" s="497">
        <v>1</v>
      </c>
      <c r="D10" s="497">
        <v>2</v>
      </c>
      <c r="E10" s="497">
        <v>3</v>
      </c>
      <c r="F10" s="497">
        <v>4</v>
      </c>
      <c r="G10" s="497">
        <v>5</v>
      </c>
      <c r="H10" s="497">
        <v>6</v>
      </c>
      <c r="I10" s="497">
        <v>7</v>
      </c>
      <c r="J10" s="497">
        <v>8</v>
      </c>
      <c r="K10" s="497">
        <v>9</v>
      </c>
      <c r="L10" s="497">
        <v>10</v>
      </c>
      <c r="M10" s="497">
        <v>11</v>
      </c>
      <c r="N10" s="497">
        <v>12</v>
      </c>
      <c r="O10" s="497">
        <v>13</v>
      </c>
      <c r="P10" s="497">
        <v>14</v>
      </c>
      <c r="Q10" s="497">
        <v>15</v>
      </c>
      <c r="R10" s="497">
        <v>16</v>
      </c>
      <c r="S10" s="498">
        <v>17</v>
      </c>
    </row>
    <row r="11" spans="1:20" ht="25.5" customHeight="1">
      <c r="A11" s="1595" t="s">
        <v>36</v>
      </c>
      <c r="B11" s="1585"/>
      <c r="C11" s="892">
        <f>C12+C24+C32+C39+C47+C51+C55+C58</f>
        <v>3706</v>
      </c>
      <c r="D11" s="892">
        <f>D12+D24+D32+D39+D47+D51+D55+D58</f>
        <v>1425</v>
      </c>
      <c r="E11" s="892">
        <f>E12+E24+E32+E39+E47+E51+E55+E58</f>
        <v>2281</v>
      </c>
      <c r="F11" s="892">
        <f>F12+F24+F32+F39+F47+F51+F55+F58</f>
        <v>34</v>
      </c>
      <c r="G11" s="892">
        <f>G12+G24+G32+G39+G47+G51+G55+G58</f>
        <v>7</v>
      </c>
      <c r="H11" s="892">
        <f>I11+Q11</f>
        <v>3672</v>
      </c>
      <c r="I11" s="892">
        <f aca="true" t="shared" si="0" ref="I11:R11">I12+I24+I32+I39+I47+I51+I55+I58</f>
        <v>2546</v>
      </c>
      <c r="J11" s="892">
        <f t="shared" si="0"/>
        <v>1888</v>
      </c>
      <c r="K11" s="892">
        <f t="shared" si="0"/>
        <v>20</v>
      </c>
      <c r="L11" s="901">
        <f t="shared" si="0"/>
        <v>574</v>
      </c>
      <c r="M11" s="892">
        <f t="shared" si="0"/>
        <v>44</v>
      </c>
      <c r="N11" s="892">
        <f t="shared" si="0"/>
        <v>9</v>
      </c>
      <c r="O11" s="892">
        <f t="shared" si="0"/>
        <v>0</v>
      </c>
      <c r="P11" s="892">
        <f t="shared" si="0"/>
        <v>11</v>
      </c>
      <c r="Q11" s="892">
        <f t="shared" si="0"/>
        <v>1126</v>
      </c>
      <c r="R11" s="892">
        <f t="shared" si="0"/>
        <v>1764</v>
      </c>
      <c r="S11" s="893">
        <f>SUM(J11:K11)/SUM(I11)*100%</f>
        <v>0.7494108405341713</v>
      </c>
      <c r="T11" s="879"/>
    </row>
    <row r="12" spans="1:19" ht="15">
      <c r="A12" s="499" t="s">
        <v>0</v>
      </c>
      <c r="B12" s="407" t="s">
        <v>97</v>
      </c>
      <c r="C12" s="948">
        <f>D12+E12</f>
        <v>257</v>
      </c>
      <c r="D12" s="948">
        <f aca="true" t="shared" si="1" ref="D12:Q12">SUM(D13:D22)</f>
        <v>72</v>
      </c>
      <c r="E12" s="948">
        <f t="shared" si="1"/>
        <v>185</v>
      </c>
      <c r="F12" s="948">
        <f t="shared" si="1"/>
        <v>0</v>
      </c>
      <c r="G12" s="948">
        <f t="shared" si="1"/>
        <v>7</v>
      </c>
      <c r="H12" s="948">
        <f t="shared" si="1"/>
        <v>257</v>
      </c>
      <c r="I12" s="948">
        <f>SUM(I13:I22)</f>
        <v>194</v>
      </c>
      <c r="J12" s="972">
        <f t="shared" si="1"/>
        <v>89</v>
      </c>
      <c r="K12" s="972">
        <f t="shared" si="1"/>
        <v>0</v>
      </c>
      <c r="L12" s="972">
        <f t="shared" si="1"/>
        <v>105</v>
      </c>
      <c r="M12" s="972">
        <f t="shared" si="1"/>
        <v>0</v>
      </c>
      <c r="N12" s="972">
        <f t="shared" si="1"/>
        <v>0</v>
      </c>
      <c r="O12" s="972">
        <f t="shared" si="1"/>
        <v>0</v>
      </c>
      <c r="P12" s="972">
        <f t="shared" si="1"/>
        <v>0</v>
      </c>
      <c r="Q12" s="972">
        <f t="shared" si="1"/>
        <v>63</v>
      </c>
      <c r="R12" s="948">
        <f>SUM(R13:R22)</f>
        <v>168</v>
      </c>
      <c r="S12" s="949">
        <f aca="true" t="shared" si="2" ref="S12:S57">SUM(J12:K12)/SUM(I12)*100%</f>
        <v>0.4587628865979381</v>
      </c>
    </row>
    <row r="13" spans="1:19" ht="18.75" customHeight="1">
      <c r="A13" s="880" t="s">
        <v>51</v>
      </c>
      <c r="B13" s="828" t="s">
        <v>667</v>
      </c>
      <c r="C13" s="950">
        <f>D13+E13</f>
        <v>48</v>
      </c>
      <c r="D13" s="1162">
        <v>17</v>
      </c>
      <c r="E13" s="1037">
        <v>31</v>
      </c>
      <c r="F13" s="1023"/>
      <c r="G13" s="951"/>
      <c r="H13" s="950">
        <f>I13+Q13</f>
        <v>48</v>
      </c>
      <c r="I13" s="950">
        <f>SUM(J13:P13)</f>
        <v>36</v>
      </c>
      <c r="J13" s="1037">
        <v>29</v>
      </c>
      <c r="K13" s="1037"/>
      <c r="L13" s="1037">
        <v>7</v>
      </c>
      <c r="M13" s="1023"/>
      <c r="N13" s="1024"/>
      <c r="O13" s="1024"/>
      <c r="P13" s="1024"/>
      <c r="Q13" s="1025">
        <v>12</v>
      </c>
      <c r="R13" s="950">
        <f>(C13-F13-J13-K13)</f>
        <v>19</v>
      </c>
      <c r="S13" s="952">
        <f t="shared" si="2"/>
        <v>0.8055555555555556</v>
      </c>
    </row>
    <row r="14" spans="1:19" ht="18.75" customHeight="1">
      <c r="A14" s="880" t="s">
        <v>52</v>
      </c>
      <c r="B14" s="828" t="s">
        <v>668</v>
      </c>
      <c r="C14" s="950">
        <f aca="true" t="shared" si="3" ref="C14:C22">D14+E14</f>
        <v>29</v>
      </c>
      <c r="D14" s="1162">
        <v>10</v>
      </c>
      <c r="E14" s="1037">
        <v>19</v>
      </c>
      <c r="F14" s="1023"/>
      <c r="G14" s="951"/>
      <c r="H14" s="950">
        <f>I14+Q14</f>
        <v>29</v>
      </c>
      <c r="I14" s="950">
        <f aca="true" t="shared" si="4" ref="I14:I22">SUM(J14:P14)</f>
        <v>23</v>
      </c>
      <c r="J14" s="1037">
        <v>14</v>
      </c>
      <c r="K14" s="1037">
        <v>0</v>
      </c>
      <c r="L14" s="1037">
        <v>9</v>
      </c>
      <c r="M14" s="1023"/>
      <c r="N14" s="1024"/>
      <c r="O14" s="1024"/>
      <c r="P14" s="1024"/>
      <c r="Q14" s="1025">
        <v>6</v>
      </c>
      <c r="R14" s="950">
        <f aca="true" t="shared" si="5" ref="R14:R22">(C14-F14-J14-K14)</f>
        <v>15</v>
      </c>
      <c r="S14" s="952">
        <f t="shared" si="2"/>
        <v>0.6086956521739131</v>
      </c>
    </row>
    <row r="15" spans="1:19" ht="18.75" customHeight="1">
      <c r="A15" s="880" t="s">
        <v>57</v>
      </c>
      <c r="B15" s="828" t="s">
        <v>676</v>
      </c>
      <c r="C15" s="950">
        <f t="shared" si="3"/>
        <v>113</v>
      </c>
      <c r="D15" s="1162">
        <v>25</v>
      </c>
      <c r="E15" s="1038">
        <f>10+78</f>
        <v>88</v>
      </c>
      <c r="F15" s="1039"/>
      <c r="G15" s="953">
        <v>7</v>
      </c>
      <c r="H15" s="950">
        <f aca="true" t="shared" si="6" ref="H15:H22">I15+Q15</f>
        <v>113</v>
      </c>
      <c r="I15" s="950">
        <f t="shared" si="4"/>
        <v>90</v>
      </c>
      <c r="J15" s="1038">
        <v>10</v>
      </c>
      <c r="K15" s="1038"/>
      <c r="L15" s="1038">
        <v>80</v>
      </c>
      <c r="M15" s="1039"/>
      <c r="N15" s="1040"/>
      <c r="O15" s="1040"/>
      <c r="P15" s="1040"/>
      <c r="Q15" s="1025">
        <v>23</v>
      </c>
      <c r="R15" s="950">
        <f t="shared" si="5"/>
        <v>103</v>
      </c>
      <c r="S15" s="952">
        <f t="shared" si="2"/>
        <v>0.1111111111111111</v>
      </c>
    </row>
    <row r="16" spans="1:19" ht="18.75" customHeight="1">
      <c r="A16" s="880" t="s">
        <v>72</v>
      </c>
      <c r="B16" s="828" t="s">
        <v>670</v>
      </c>
      <c r="C16" s="950">
        <f t="shared" si="3"/>
        <v>4</v>
      </c>
      <c r="D16" s="1162">
        <v>0</v>
      </c>
      <c r="E16" s="1037">
        <v>4</v>
      </c>
      <c r="F16" s="1023"/>
      <c r="G16" s="951"/>
      <c r="H16" s="950">
        <f t="shared" si="6"/>
        <v>4</v>
      </c>
      <c r="I16" s="950">
        <f t="shared" si="4"/>
        <v>4</v>
      </c>
      <c r="J16" s="1037">
        <v>3</v>
      </c>
      <c r="K16" s="1037"/>
      <c r="L16" s="1037">
        <v>1</v>
      </c>
      <c r="M16" s="1023"/>
      <c r="N16" s="1024"/>
      <c r="O16" s="1024"/>
      <c r="P16" s="1024"/>
      <c r="Q16" s="1025">
        <v>0</v>
      </c>
      <c r="R16" s="950">
        <f t="shared" si="5"/>
        <v>1</v>
      </c>
      <c r="S16" s="952">
        <f t="shared" si="2"/>
        <v>0.75</v>
      </c>
    </row>
    <row r="17" spans="1:19" ht="18.75" customHeight="1">
      <c r="A17" s="880" t="s">
        <v>73</v>
      </c>
      <c r="B17" s="828" t="s">
        <v>671</v>
      </c>
      <c r="C17" s="950">
        <f t="shared" si="3"/>
        <v>6</v>
      </c>
      <c r="D17" s="1162">
        <v>2</v>
      </c>
      <c r="E17" s="1037">
        <v>4</v>
      </c>
      <c r="F17" s="1023"/>
      <c r="G17" s="951"/>
      <c r="H17" s="950">
        <f t="shared" si="6"/>
        <v>6</v>
      </c>
      <c r="I17" s="950">
        <f t="shared" si="4"/>
        <v>4</v>
      </c>
      <c r="J17" s="1037">
        <v>3</v>
      </c>
      <c r="K17" s="1037"/>
      <c r="L17" s="1037">
        <v>1</v>
      </c>
      <c r="M17" s="1023"/>
      <c r="N17" s="1024"/>
      <c r="O17" s="1024"/>
      <c r="P17" s="1024"/>
      <c r="Q17" s="1025">
        <v>2</v>
      </c>
      <c r="R17" s="950">
        <f t="shared" si="5"/>
        <v>3</v>
      </c>
      <c r="S17" s="952">
        <f t="shared" si="2"/>
        <v>0.75</v>
      </c>
    </row>
    <row r="18" spans="1:19" ht="18.75" customHeight="1">
      <c r="A18" s="880" t="s">
        <v>74</v>
      </c>
      <c r="B18" s="829" t="s">
        <v>672</v>
      </c>
      <c r="C18" s="950">
        <f t="shared" si="3"/>
        <v>39</v>
      </c>
      <c r="D18" s="1162">
        <v>16</v>
      </c>
      <c r="E18" s="1037">
        <f>17+6</f>
        <v>23</v>
      </c>
      <c r="F18" s="1023"/>
      <c r="G18" s="951"/>
      <c r="H18" s="950">
        <f t="shared" si="6"/>
        <v>39</v>
      </c>
      <c r="I18" s="950">
        <f t="shared" si="4"/>
        <v>23</v>
      </c>
      <c r="J18" s="1037">
        <v>18</v>
      </c>
      <c r="K18" s="1037">
        <v>0</v>
      </c>
      <c r="L18" s="1037">
        <v>5</v>
      </c>
      <c r="M18" s="1023"/>
      <c r="N18" s="1024"/>
      <c r="O18" s="1024"/>
      <c r="P18" s="1024"/>
      <c r="Q18" s="1025">
        <v>16</v>
      </c>
      <c r="R18" s="950">
        <f t="shared" si="5"/>
        <v>21</v>
      </c>
      <c r="S18" s="952">
        <f t="shared" si="2"/>
        <v>0.782608695652174</v>
      </c>
    </row>
    <row r="19" spans="1:19" ht="18.75" customHeight="1">
      <c r="A19" s="880" t="s">
        <v>75</v>
      </c>
      <c r="B19" s="828" t="s">
        <v>673</v>
      </c>
      <c r="C19" s="950">
        <f t="shared" si="3"/>
        <v>6</v>
      </c>
      <c r="D19" s="1162">
        <v>0</v>
      </c>
      <c r="E19" s="1037">
        <v>6</v>
      </c>
      <c r="F19" s="1023"/>
      <c r="G19" s="951"/>
      <c r="H19" s="950">
        <f t="shared" si="6"/>
        <v>6</v>
      </c>
      <c r="I19" s="950">
        <f t="shared" si="4"/>
        <v>6</v>
      </c>
      <c r="J19" s="1037">
        <v>6</v>
      </c>
      <c r="K19" s="1037"/>
      <c r="L19" s="1037">
        <v>0</v>
      </c>
      <c r="M19" s="1023"/>
      <c r="N19" s="1024"/>
      <c r="O19" s="1024"/>
      <c r="P19" s="1024"/>
      <c r="Q19" s="1025">
        <v>0</v>
      </c>
      <c r="R19" s="950">
        <f t="shared" si="5"/>
        <v>0</v>
      </c>
      <c r="S19" s="952">
        <f t="shared" si="2"/>
        <v>1</v>
      </c>
    </row>
    <row r="20" spans="1:19" ht="18.75" customHeight="1">
      <c r="A20" s="880" t="s">
        <v>76</v>
      </c>
      <c r="B20" s="828" t="s">
        <v>734</v>
      </c>
      <c r="C20" s="950">
        <f t="shared" si="3"/>
        <v>4</v>
      </c>
      <c r="D20" s="1162">
        <v>1</v>
      </c>
      <c r="E20" s="1037">
        <v>3</v>
      </c>
      <c r="F20" s="1023"/>
      <c r="G20" s="951"/>
      <c r="H20" s="950">
        <f t="shared" si="6"/>
        <v>4</v>
      </c>
      <c r="I20" s="950">
        <f t="shared" si="4"/>
        <v>1</v>
      </c>
      <c r="J20" s="1037">
        <v>1</v>
      </c>
      <c r="K20" s="1037">
        <v>0</v>
      </c>
      <c r="L20" s="1037">
        <v>0</v>
      </c>
      <c r="M20" s="1023">
        <v>0</v>
      </c>
      <c r="N20" s="1024">
        <v>0</v>
      </c>
      <c r="O20" s="1024">
        <v>0</v>
      </c>
      <c r="P20" s="1024">
        <v>0</v>
      </c>
      <c r="Q20" s="1025">
        <v>3</v>
      </c>
      <c r="R20" s="950">
        <f t="shared" si="5"/>
        <v>3</v>
      </c>
      <c r="S20" s="952">
        <f t="shared" si="2"/>
        <v>1</v>
      </c>
    </row>
    <row r="21" spans="1:19" ht="18.75" customHeight="1">
      <c r="A21" s="880" t="s">
        <v>77</v>
      </c>
      <c r="B21" s="828" t="s">
        <v>674</v>
      </c>
      <c r="C21" s="950">
        <f t="shared" si="3"/>
        <v>4</v>
      </c>
      <c r="D21" s="1162">
        <v>1</v>
      </c>
      <c r="E21" s="1037">
        <v>3</v>
      </c>
      <c r="F21" s="1023"/>
      <c r="G21" s="951"/>
      <c r="H21" s="950">
        <f t="shared" si="6"/>
        <v>4</v>
      </c>
      <c r="I21" s="950">
        <f t="shared" si="4"/>
        <v>3</v>
      </c>
      <c r="J21" s="1037">
        <v>1</v>
      </c>
      <c r="K21" s="1037"/>
      <c r="L21" s="1037">
        <v>2</v>
      </c>
      <c r="M21" s="1023"/>
      <c r="N21" s="1024"/>
      <c r="O21" s="1024"/>
      <c r="P21" s="1024"/>
      <c r="Q21" s="1025">
        <v>1</v>
      </c>
      <c r="R21" s="950">
        <f t="shared" si="5"/>
        <v>3</v>
      </c>
      <c r="S21" s="952">
        <f t="shared" si="2"/>
        <v>0.3333333333333333</v>
      </c>
    </row>
    <row r="22" spans="1:19" ht="20.25" customHeight="1">
      <c r="A22" s="880" t="s">
        <v>100</v>
      </c>
      <c r="B22" s="830" t="s">
        <v>675</v>
      </c>
      <c r="C22" s="950">
        <f t="shared" si="3"/>
        <v>4</v>
      </c>
      <c r="D22" s="1162">
        <v>0</v>
      </c>
      <c r="E22" s="1037">
        <v>4</v>
      </c>
      <c r="F22" s="1023"/>
      <c r="G22" s="951"/>
      <c r="H22" s="950">
        <f t="shared" si="6"/>
        <v>4</v>
      </c>
      <c r="I22" s="950">
        <f t="shared" si="4"/>
        <v>4</v>
      </c>
      <c r="J22" s="1037">
        <v>4</v>
      </c>
      <c r="K22" s="1037">
        <v>0</v>
      </c>
      <c r="L22" s="1037">
        <v>0</v>
      </c>
      <c r="M22" s="1023">
        <v>0</v>
      </c>
      <c r="N22" s="1024">
        <v>0</v>
      </c>
      <c r="O22" s="1024">
        <v>0</v>
      </c>
      <c r="P22" s="1024">
        <v>0</v>
      </c>
      <c r="Q22" s="1025">
        <v>0</v>
      </c>
      <c r="R22" s="950">
        <f t="shared" si="5"/>
        <v>0</v>
      </c>
      <c r="S22" s="952">
        <f t="shared" si="2"/>
        <v>1</v>
      </c>
    </row>
    <row r="23" spans="1:19" ht="18.75" customHeight="1">
      <c r="A23" s="499" t="s">
        <v>1</v>
      </c>
      <c r="B23" s="500" t="s">
        <v>18</v>
      </c>
      <c r="C23" s="954"/>
      <c r="D23" s="954"/>
      <c r="E23" s="955"/>
      <c r="F23" s="954"/>
      <c r="G23" s="954"/>
      <c r="H23" s="954"/>
      <c r="I23" s="954"/>
      <c r="J23" s="973"/>
      <c r="K23" s="973"/>
      <c r="L23" s="973"/>
      <c r="M23" s="973"/>
      <c r="N23" s="973"/>
      <c r="O23" s="973"/>
      <c r="P23" s="973"/>
      <c r="Q23" s="973"/>
      <c r="R23" s="950"/>
      <c r="S23" s="952" t="e">
        <f t="shared" si="2"/>
        <v>#DIV/0!</v>
      </c>
    </row>
    <row r="24" spans="1:19" ht="27.75" customHeight="1">
      <c r="A24" s="499" t="s">
        <v>52</v>
      </c>
      <c r="B24" s="500" t="s">
        <v>677</v>
      </c>
      <c r="C24" s="948">
        <f>D24+E24</f>
        <v>905</v>
      </c>
      <c r="D24" s="948">
        <f>SUM(D25:D31)</f>
        <v>347</v>
      </c>
      <c r="E24" s="948">
        <f>SUM(E25:E31)</f>
        <v>558</v>
      </c>
      <c r="F24" s="948">
        <f>SUM(F25:F31)</f>
        <v>19</v>
      </c>
      <c r="G24" s="948">
        <f>SUM(G25:G31)</f>
        <v>0</v>
      </c>
      <c r="H24" s="948">
        <f>I24+Q24</f>
        <v>886</v>
      </c>
      <c r="I24" s="948">
        <f>SUM(J24:P24)</f>
        <v>620</v>
      </c>
      <c r="J24" s="948">
        <f aca="true" t="shared" si="7" ref="J24:R24">SUM(J25:J31)</f>
        <v>439</v>
      </c>
      <c r="K24" s="948">
        <f t="shared" si="7"/>
        <v>6</v>
      </c>
      <c r="L24" s="948">
        <f t="shared" si="7"/>
        <v>135</v>
      </c>
      <c r="M24" s="948">
        <f t="shared" si="7"/>
        <v>27</v>
      </c>
      <c r="N24" s="948">
        <f t="shared" si="7"/>
        <v>9</v>
      </c>
      <c r="O24" s="948">
        <f t="shared" si="7"/>
        <v>0</v>
      </c>
      <c r="P24" s="948">
        <f t="shared" si="7"/>
        <v>4</v>
      </c>
      <c r="Q24" s="948">
        <f t="shared" si="7"/>
        <v>266</v>
      </c>
      <c r="R24" s="948">
        <f t="shared" si="7"/>
        <v>441</v>
      </c>
      <c r="S24" s="949">
        <f t="shared" si="2"/>
        <v>0.717741935483871</v>
      </c>
    </row>
    <row r="25" spans="1:19" ht="18.75" customHeight="1">
      <c r="A25" s="880" t="s">
        <v>51</v>
      </c>
      <c r="B25" s="1092" t="s">
        <v>678</v>
      </c>
      <c r="C25" s="963">
        <f>D25+E25</f>
        <v>151</v>
      </c>
      <c r="D25" s="841">
        <v>18</v>
      </c>
      <c r="E25" s="841">
        <v>133</v>
      </c>
      <c r="F25" s="841">
        <v>12</v>
      </c>
      <c r="G25" s="964">
        <v>0</v>
      </c>
      <c r="H25" s="963">
        <f>I25+Q25</f>
        <v>139</v>
      </c>
      <c r="I25" s="963">
        <f aca="true" t="shared" si="8" ref="I25:I60">SUM(J25:P25)</f>
        <v>139</v>
      </c>
      <c r="J25" s="841">
        <v>137</v>
      </c>
      <c r="K25" s="841">
        <v>2</v>
      </c>
      <c r="L25" s="841">
        <v>0</v>
      </c>
      <c r="M25" s="841">
        <v>0</v>
      </c>
      <c r="N25" s="841">
        <v>0</v>
      </c>
      <c r="O25" s="841">
        <v>0</v>
      </c>
      <c r="P25" s="841">
        <v>0</v>
      </c>
      <c r="Q25" s="841">
        <v>0</v>
      </c>
      <c r="R25" s="963">
        <f aca="true" t="shared" si="9" ref="R25:R48">(C25-F25-J25-K25)+G25</f>
        <v>0</v>
      </c>
      <c r="S25" s="831">
        <f t="shared" si="2"/>
        <v>1</v>
      </c>
    </row>
    <row r="26" spans="1:19" ht="18.75" customHeight="1">
      <c r="A26" s="880" t="s">
        <v>52</v>
      </c>
      <c r="B26" s="1093" t="s">
        <v>679</v>
      </c>
      <c r="C26" s="963">
        <f aca="true" t="shared" si="10" ref="C26:C48">D26+E26</f>
        <v>84</v>
      </c>
      <c r="D26" s="841">
        <v>31</v>
      </c>
      <c r="E26" s="841">
        <v>53</v>
      </c>
      <c r="F26" s="841">
        <v>0</v>
      </c>
      <c r="G26" s="964">
        <v>0</v>
      </c>
      <c r="H26" s="963">
        <f aca="true" t="shared" si="11" ref="H26:H60">I26+Q26</f>
        <v>84</v>
      </c>
      <c r="I26" s="963">
        <f t="shared" si="8"/>
        <v>61</v>
      </c>
      <c r="J26" s="841">
        <v>39</v>
      </c>
      <c r="K26" s="841">
        <v>0</v>
      </c>
      <c r="L26" s="841">
        <v>12</v>
      </c>
      <c r="M26" s="841">
        <v>4</v>
      </c>
      <c r="N26" s="841">
        <v>6</v>
      </c>
      <c r="O26" s="841"/>
      <c r="P26" s="841">
        <v>0</v>
      </c>
      <c r="Q26" s="841">
        <v>23</v>
      </c>
      <c r="R26" s="963">
        <f t="shared" si="9"/>
        <v>45</v>
      </c>
      <c r="S26" s="831">
        <f t="shared" si="2"/>
        <v>0.639344262295082</v>
      </c>
    </row>
    <row r="27" spans="1:19" ht="18.75" customHeight="1">
      <c r="A27" s="880" t="s">
        <v>57</v>
      </c>
      <c r="B27" s="1092" t="s">
        <v>680</v>
      </c>
      <c r="C27" s="963">
        <f t="shared" si="10"/>
        <v>142</v>
      </c>
      <c r="D27" s="841">
        <v>55</v>
      </c>
      <c r="E27" s="841">
        <v>87</v>
      </c>
      <c r="F27" s="841">
        <v>0</v>
      </c>
      <c r="G27" s="964">
        <v>0</v>
      </c>
      <c r="H27" s="963">
        <f t="shared" si="11"/>
        <v>142</v>
      </c>
      <c r="I27" s="963">
        <f t="shared" si="8"/>
        <v>91</v>
      </c>
      <c r="J27" s="841">
        <v>64</v>
      </c>
      <c r="K27" s="841">
        <v>2</v>
      </c>
      <c r="L27" s="841">
        <v>23</v>
      </c>
      <c r="M27" s="841">
        <v>2</v>
      </c>
      <c r="N27" s="841"/>
      <c r="O27" s="841"/>
      <c r="P27" s="841">
        <v>0</v>
      </c>
      <c r="Q27" s="841">
        <v>51</v>
      </c>
      <c r="R27" s="963">
        <f>(C27-F27-J27-K27)+G27</f>
        <v>76</v>
      </c>
      <c r="S27" s="831">
        <f t="shared" si="2"/>
        <v>0.7252747252747253</v>
      </c>
    </row>
    <row r="28" spans="1:19" ht="18.75" customHeight="1">
      <c r="A28" s="880" t="s">
        <v>72</v>
      </c>
      <c r="B28" s="1093" t="s">
        <v>800</v>
      </c>
      <c r="C28" s="963">
        <f t="shared" si="10"/>
        <v>105</v>
      </c>
      <c r="D28" s="841">
        <v>81</v>
      </c>
      <c r="E28" s="841">
        <v>24</v>
      </c>
      <c r="F28" s="841">
        <v>2</v>
      </c>
      <c r="G28" s="964">
        <v>0</v>
      </c>
      <c r="H28" s="963">
        <f t="shared" si="11"/>
        <v>103</v>
      </c>
      <c r="I28" s="963">
        <f t="shared" si="8"/>
        <v>49</v>
      </c>
      <c r="J28" s="841">
        <v>6</v>
      </c>
      <c r="K28" s="841">
        <v>0</v>
      </c>
      <c r="L28" s="841">
        <v>32</v>
      </c>
      <c r="M28" s="841">
        <v>9</v>
      </c>
      <c r="N28" s="841"/>
      <c r="O28" s="841"/>
      <c r="P28" s="841">
        <v>2</v>
      </c>
      <c r="Q28" s="841">
        <v>54</v>
      </c>
      <c r="R28" s="963">
        <f t="shared" si="9"/>
        <v>97</v>
      </c>
      <c r="S28" s="831">
        <f t="shared" si="2"/>
        <v>0.12244897959183673</v>
      </c>
    </row>
    <row r="29" spans="1:19" ht="18.75" customHeight="1">
      <c r="A29" s="880" t="s">
        <v>73</v>
      </c>
      <c r="B29" s="1093" t="s">
        <v>801</v>
      </c>
      <c r="C29" s="963">
        <f t="shared" si="10"/>
        <v>121</v>
      </c>
      <c r="D29" s="841">
        <v>79</v>
      </c>
      <c r="E29" s="841">
        <v>42</v>
      </c>
      <c r="F29" s="841">
        <v>2</v>
      </c>
      <c r="G29" s="964">
        <v>0</v>
      </c>
      <c r="H29" s="963">
        <f t="shared" si="11"/>
        <v>119</v>
      </c>
      <c r="I29" s="963">
        <f t="shared" si="8"/>
        <v>59</v>
      </c>
      <c r="J29" s="841">
        <v>15</v>
      </c>
      <c r="K29" s="841">
        <v>0</v>
      </c>
      <c r="L29" s="841">
        <v>30</v>
      </c>
      <c r="M29" s="841">
        <v>12</v>
      </c>
      <c r="N29" s="841"/>
      <c r="O29" s="841"/>
      <c r="P29" s="841">
        <v>2</v>
      </c>
      <c r="Q29" s="841">
        <v>60</v>
      </c>
      <c r="R29" s="963">
        <f t="shared" si="9"/>
        <v>104</v>
      </c>
      <c r="S29" s="831">
        <f t="shared" si="2"/>
        <v>0.2542372881355932</v>
      </c>
    </row>
    <row r="30" spans="1:19" ht="18.75" customHeight="1">
      <c r="A30" s="880" t="s">
        <v>74</v>
      </c>
      <c r="B30" s="1092" t="s">
        <v>802</v>
      </c>
      <c r="C30" s="963">
        <f t="shared" si="10"/>
        <v>126</v>
      </c>
      <c r="D30" s="841">
        <v>36</v>
      </c>
      <c r="E30" s="841">
        <v>90</v>
      </c>
      <c r="F30" s="841">
        <v>1</v>
      </c>
      <c r="G30" s="964">
        <v>0</v>
      </c>
      <c r="H30" s="963">
        <f t="shared" si="11"/>
        <v>125</v>
      </c>
      <c r="I30" s="963">
        <f t="shared" si="8"/>
        <v>90</v>
      </c>
      <c r="J30" s="841">
        <v>69</v>
      </c>
      <c r="K30" s="841">
        <v>2</v>
      </c>
      <c r="L30" s="841">
        <v>18</v>
      </c>
      <c r="M30" s="841">
        <v>0</v>
      </c>
      <c r="N30" s="841">
        <v>1</v>
      </c>
      <c r="O30" s="841">
        <v>0</v>
      </c>
      <c r="P30" s="841"/>
      <c r="Q30" s="841">
        <v>35</v>
      </c>
      <c r="R30" s="963">
        <f t="shared" si="9"/>
        <v>54</v>
      </c>
      <c r="S30" s="831">
        <f t="shared" si="2"/>
        <v>0.7888888888888889</v>
      </c>
    </row>
    <row r="31" spans="1:19" ht="18.75" customHeight="1">
      <c r="A31" s="880" t="s">
        <v>75</v>
      </c>
      <c r="B31" s="1092" t="s">
        <v>683</v>
      </c>
      <c r="C31" s="963">
        <f t="shared" si="10"/>
        <v>176</v>
      </c>
      <c r="D31" s="841">
        <v>47</v>
      </c>
      <c r="E31" s="841">
        <v>129</v>
      </c>
      <c r="F31" s="841">
        <v>2</v>
      </c>
      <c r="G31" s="964">
        <v>0</v>
      </c>
      <c r="H31" s="963">
        <f t="shared" si="11"/>
        <v>174</v>
      </c>
      <c r="I31" s="963">
        <f t="shared" si="8"/>
        <v>131</v>
      </c>
      <c r="J31" s="841">
        <v>109</v>
      </c>
      <c r="K31" s="841">
        <v>0</v>
      </c>
      <c r="L31" s="841">
        <v>20</v>
      </c>
      <c r="M31" s="841">
        <v>0</v>
      </c>
      <c r="N31" s="841">
        <v>2</v>
      </c>
      <c r="O31" s="841">
        <v>0</v>
      </c>
      <c r="P31" s="841"/>
      <c r="Q31" s="841">
        <v>43</v>
      </c>
      <c r="R31" s="963">
        <f>(C31-F31-J31-K31)+G31</f>
        <v>65</v>
      </c>
      <c r="S31" s="831">
        <f t="shared" si="2"/>
        <v>0.8320610687022901</v>
      </c>
    </row>
    <row r="32" spans="1:19" ht="18.75" customHeight="1">
      <c r="A32" s="499" t="s">
        <v>57</v>
      </c>
      <c r="B32" s="832" t="s">
        <v>684</v>
      </c>
      <c r="C32" s="933">
        <f>D32+E32</f>
        <v>632</v>
      </c>
      <c r="D32" s="933">
        <f>SUM(D33:D38)</f>
        <v>215</v>
      </c>
      <c r="E32" s="933">
        <f>SUM(E33:E38)</f>
        <v>417</v>
      </c>
      <c r="F32" s="933">
        <f>SUM(F33:F38)</f>
        <v>8</v>
      </c>
      <c r="G32" s="933">
        <f aca="true" t="shared" si="12" ref="G32:Q32">SUM(G33:G38)</f>
        <v>0</v>
      </c>
      <c r="H32" s="933">
        <f t="shared" si="12"/>
        <v>624</v>
      </c>
      <c r="I32" s="933">
        <f t="shared" si="12"/>
        <v>441</v>
      </c>
      <c r="J32" s="933">
        <f t="shared" si="12"/>
        <v>353</v>
      </c>
      <c r="K32" s="933">
        <f t="shared" si="12"/>
        <v>2</v>
      </c>
      <c r="L32" s="933">
        <f t="shared" si="12"/>
        <v>80</v>
      </c>
      <c r="M32" s="933">
        <f t="shared" si="12"/>
        <v>4</v>
      </c>
      <c r="N32" s="933">
        <f t="shared" si="12"/>
        <v>0</v>
      </c>
      <c r="O32" s="933">
        <f t="shared" si="12"/>
        <v>0</v>
      </c>
      <c r="P32" s="933">
        <f t="shared" si="12"/>
        <v>2</v>
      </c>
      <c r="Q32" s="933">
        <f t="shared" si="12"/>
        <v>183</v>
      </c>
      <c r="R32" s="933">
        <f>SUM(R33:R38)</f>
        <v>269</v>
      </c>
      <c r="S32" s="934">
        <f t="shared" si="2"/>
        <v>0.8049886621315193</v>
      </c>
    </row>
    <row r="33" spans="1:19" ht="18.75" customHeight="1">
      <c r="A33" s="880" t="s">
        <v>51</v>
      </c>
      <c r="B33" s="1093" t="s">
        <v>685</v>
      </c>
      <c r="C33" s="965">
        <f t="shared" si="10"/>
        <v>134</v>
      </c>
      <c r="D33" s="1023">
        <v>21</v>
      </c>
      <c r="E33" s="1023">
        <v>113</v>
      </c>
      <c r="F33" s="1023">
        <v>1</v>
      </c>
      <c r="G33" s="966">
        <v>0</v>
      </c>
      <c r="H33" s="965">
        <f t="shared" si="11"/>
        <v>133</v>
      </c>
      <c r="I33" s="965">
        <f t="shared" si="8"/>
        <v>112</v>
      </c>
      <c r="J33" s="1023">
        <v>105</v>
      </c>
      <c r="K33" s="1023">
        <v>0</v>
      </c>
      <c r="L33" s="1023">
        <v>6</v>
      </c>
      <c r="M33" s="1023">
        <v>0</v>
      </c>
      <c r="N33" s="1024">
        <v>0</v>
      </c>
      <c r="O33" s="1024">
        <v>0</v>
      </c>
      <c r="P33" s="1024">
        <v>1</v>
      </c>
      <c r="Q33" s="1025">
        <v>21</v>
      </c>
      <c r="R33" s="967">
        <f t="shared" si="9"/>
        <v>28</v>
      </c>
      <c r="S33" s="938">
        <f t="shared" si="2"/>
        <v>0.9375</v>
      </c>
    </row>
    <row r="34" spans="1:19" ht="18.75" customHeight="1">
      <c r="A34" s="880" t="s">
        <v>52</v>
      </c>
      <c r="B34" s="1093" t="s">
        <v>686</v>
      </c>
      <c r="C34" s="965">
        <f t="shared" si="10"/>
        <v>92</v>
      </c>
      <c r="D34" s="1023">
        <v>60</v>
      </c>
      <c r="E34" s="1023">
        <v>32</v>
      </c>
      <c r="F34" s="1023">
        <v>0</v>
      </c>
      <c r="G34" s="966">
        <v>0</v>
      </c>
      <c r="H34" s="965">
        <f t="shared" si="11"/>
        <v>92</v>
      </c>
      <c r="I34" s="965">
        <f t="shared" si="8"/>
        <v>44</v>
      </c>
      <c r="J34" s="1023">
        <v>25</v>
      </c>
      <c r="K34" s="1023">
        <v>0</v>
      </c>
      <c r="L34" s="1023">
        <v>19</v>
      </c>
      <c r="M34" s="1023">
        <v>0</v>
      </c>
      <c r="N34" s="1024">
        <v>0</v>
      </c>
      <c r="O34" s="1024">
        <v>0</v>
      </c>
      <c r="P34" s="1024">
        <v>0</v>
      </c>
      <c r="Q34" s="1025">
        <v>48</v>
      </c>
      <c r="R34" s="967">
        <f t="shared" si="9"/>
        <v>67</v>
      </c>
      <c r="S34" s="938">
        <f t="shared" si="2"/>
        <v>0.5681818181818182</v>
      </c>
    </row>
    <row r="35" spans="1:19" ht="18.75" customHeight="1">
      <c r="A35" s="880" t="s">
        <v>57</v>
      </c>
      <c r="B35" s="1093" t="s">
        <v>682</v>
      </c>
      <c r="C35" s="965">
        <f t="shared" si="10"/>
        <v>94</v>
      </c>
      <c r="D35" s="1023">
        <v>24</v>
      </c>
      <c r="E35" s="1023">
        <v>70</v>
      </c>
      <c r="F35" s="1023">
        <v>4</v>
      </c>
      <c r="G35" s="966">
        <v>0</v>
      </c>
      <c r="H35" s="965">
        <f t="shared" si="11"/>
        <v>90</v>
      </c>
      <c r="I35" s="965">
        <f t="shared" si="8"/>
        <v>65</v>
      </c>
      <c r="J35" s="1023">
        <v>51</v>
      </c>
      <c r="K35" s="1023">
        <v>1</v>
      </c>
      <c r="L35" s="1023">
        <v>13</v>
      </c>
      <c r="M35" s="1023">
        <v>0</v>
      </c>
      <c r="N35" s="1024">
        <v>0</v>
      </c>
      <c r="O35" s="1024">
        <v>0</v>
      </c>
      <c r="P35" s="1024">
        <v>0</v>
      </c>
      <c r="Q35" s="1025">
        <v>25</v>
      </c>
      <c r="R35" s="967">
        <f t="shared" si="9"/>
        <v>38</v>
      </c>
      <c r="S35" s="938">
        <f t="shared" si="2"/>
        <v>0.8</v>
      </c>
    </row>
    <row r="36" spans="1:19" ht="18.75" customHeight="1">
      <c r="A36" s="880" t="s">
        <v>72</v>
      </c>
      <c r="B36" s="1093" t="s">
        <v>687</v>
      </c>
      <c r="C36" s="965">
        <f t="shared" si="10"/>
        <v>102</v>
      </c>
      <c r="D36" s="1023">
        <v>31</v>
      </c>
      <c r="E36" s="1023">
        <v>71</v>
      </c>
      <c r="F36" s="1023">
        <v>2</v>
      </c>
      <c r="G36" s="966">
        <v>0</v>
      </c>
      <c r="H36" s="965">
        <f t="shared" si="11"/>
        <v>100</v>
      </c>
      <c r="I36" s="965">
        <f t="shared" si="8"/>
        <v>76</v>
      </c>
      <c r="J36" s="1023">
        <v>64</v>
      </c>
      <c r="K36" s="1023">
        <v>0</v>
      </c>
      <c r="L36" s="1023">
        <v>12</v>
      </c>
      <c r="M36" s="1023">
        <v>0</v>
      </c>
      <c r="N36" s="1024">
        <v>0</v>
      </c>
      <c r="O36" s="1024">
        <v>0</v>
      </c>
      <c r="P36" s="1024">
        <v>0</v>
      </c>
      <c r="Q36" s="1025">
        <v>24</v>
      </c>
      <c r="R36" s="967">
        <f t="shared" si="9"/>
        <v>36</v>
      </c>
      <c r="S36" s="938">
        <f t="shared" si="2"/>
        <v>0.8421052631578947</v>
      </c>
    </row>
    <row r="37" spans="1:19" ht="18.75" customHeight="1">
      <c r="A37" s="880" t="s">
        <v>73</v>
      </c>
      <c r="B37" s="1093" t="s">
        <v>712</v>
      </c>
      <c r="C37" s="965">
        <f t="shared" si="10"/>
        <v>100</v>
      </c>
      <c r="D37" s="1023">
        <v>33</v>
      </c>
      <c r="E37" s="1023">
        <v>67</v>
      </c>
      <c r="F37" s="1023">
        <v>0</v>
      </c>
      <c r="G37" s="966">
        <v>0</v>
      </c>
      <c r="H37" s="965">
        <f t="shared" si="11"/>
        <v>100</v>
      </c>
      <c r="I37" s="965">
        <f t="shared" si="8"/>
        <v>71</v>
      </c>
      <c r="J37" s="1023">
        <v>55</v>
      </c>
      <c r="K37" s="1023">
        <v>1</v>
      </c>
      <c r="L37" s="1023">
        <v>15</v>
      </c>
      <c r="M37" s="1023">
        <v>0</v>
      </c>
      <c r="N37" s="1024">
        <v>0</v>
      </c>
      <c r="O37" s="1024">
        <v>0</v>
      </c>
      <c r="P37" s="1024">
        <v>0</v>
      </c>
      <c r="Q37" s="1025">
        <v>29</v>
      </c>
      <c r="R37" s="967">
        <f t="shared" si="9"/>
        <v>44</v>
      </c>
      <c r="S37" s="938">
        <f t="shared" si="2"/>
        <v>0.7887323943661971</v>
      </c>
    </row>
    <row r="38" spans="1:19" ht="18.75" customHeight="1">
      <c r="A38" s="880" t="s">
        <v>74</v>
      </c>
      <c r="B38" s="1092" t="s">
        <v>688</v>
      </c>
      <c r="C38" s="935">
        <f t="shared" si="10"/>
        <v>110</v>
      </c>
      <c r="D38" s="1094">
        <v>46</v>
      </c>
      <c r="E38" s="1094">
        <v>64</v>
      </c>
      <c r="F38" s="1094">
        <v>1</v>
      </c>
      <c r="G38" s="936">
        <v>0</v>
      </c>
      <c r="H38" s="935">
        <f t="shared" si="11"/>
        <v>109</v>
      </c>
      <c r="I38" s="935">
        <f t="shared" si="8"/>
        <v>73</v>
      </c>
      <c r="J38" s="1094">
        <v>53</v>
      </c>
      <c r="K38" s="1094">
        <v>0</v>
      </c>
      <c r="L38" s="1094">
        <v>15</v>
      </c>
      <c r="M38" s="1094">
        <v>4</v>
      </c>
      <c r="N38" s="1095">
        <v>0</v>
      </c>
      <c r="O38" s="1095">
        <v>0</v>
      </c>
      <c r="P38" s="1095">
        <v>1</v>
      </c>
      <c r="Q38" s="1096">
        <v>36</v>
      </c>
      <c r="R38" s="937">
        <f t="shared" si="9"/>
        <v>56</v>
      </c>
      <c r="S38" s="938">
        <f t="shared" si="2"/>
        <v>0.726027397260274</v>
      </c>
    </row>
    <row r="39" spans="1:19" ht="18.75" customHeight="1">
      <c r="A39" s="499" t="s">
        <v>72</v>
      </c>
      <c r="B39" s="832" t="s">
        <v>709</v>
      </c>
      <c r="C39" s="932">
        <f>D39+E39</f>
        <v>833</v>
      </c>
      <c r="D39" s="895">
        <f>SUM(D40:D46)</f>
        <v>475</v>
      </c>
      <c r="E39" s="895">
        <f>SUM(E40:E46)</f>
        <v>358</v>
      </c>
      <c r="F39" s="895">
        <f>SUM(F40:F46)</f>
        <v>1</v>
      </c>
      <c r="G39" s="895">
        <f>SUM(G40:G46)</f>
        <v>0</v>
      </c>
      <c r="H39" s="895">
        <f aca="true" t="shared" si="13" ref="H39:H46">I39+Q39</f>
        <v>832</v>
      </c>
      <c r="I39" s="895">
        <f>SUM(J39:P39)</f>
        <v>493</v>
      </c>
      <c r="J39" s="895">
        <f>SUM(J40:J46)</f>
        <v>362</v>
      </c>
      <c r="K39" s="895">
        <f aca="true" t="shared" si="14" ref="K39:R39">SUM(K40:K46)</f>
        <v>6</v>
      </c>
      <c r="L39" s="895">
        <f t="shared" si="14"/>
        <v>107</v>
      </c>
      <c r="M39" s="895">
        <f t="shared" si="14"/>
        <v>13</v>
      </c>
      <c r="N39" s="895">
        <f t="shared" si="14"/>
        <v>0</v>
      </c>
      <c r="O39" s="895">
        <f t="shared" si="14"/>
        <v>0</v>
      </c>
      <c r="P39" s="895">
        <f t="shared" si="14"/>
        <v>5</v>
      </c>
      <c r="Q39" s="895">
        <f t="shared" si="14"/>
        <v>339</v>
      </c>
      <c r="R39" s="895">
        <f t="shared" si="14"/>
        <v>464</v>
      </c>
      <c r="S39" s="893">
        <f t="shared" si="2"/>
        <v>0.7464503042596349</v>
      </c>
    </row>
    <row r="40" spans="1:19" ht="18.75" customHeight="1">
      <c r="A40" s="880" t="s">
        <v>51</v>
      </c>
      <c r="B40" s="833" t="s">
        <v>689</v>
      </c>
      <c r="C40" s="950">
        <f t="shared" si="10"/>
        <v>41</v>
      </c>
      <c r="D40" s="841">
        <v>19</v>
      </c>
      <c r="E40" s="841">
        <v>22</v>
      </c>
      <c r="F40" s="841">
        <v>0</v>
      </c>
      <c r="G40" s="956">
        <v>0</v>
      </c>
      <c r="H40" s="950">
        <f t="shared" si="13"/>
        <v>41</v>
      </c>
      <c r="I40" s="950">
        <f t="shared" si="8"/>
        <v>24</v>
      </c>
      <c r="J40" s="841">
        <v>21</v>
      </c>
      <c r="K40" s="841">
        <v>0</v>
      </c>
      <c r="L40" s="841">
        <v>3</v>
      </c>
      <c r="M40" s="841">
        <v>0</v>
      </c>
      <c r="N40" s="841">
        <v>0</v>
      </c>
      <c r="O40" s="841">
        <v>0</v>
      </c>
      <c r="P40" s="841">
        <v>0</v>
      </c>
      <c r="Q40" s="841">
        <v>17</v>
      </c>
      <c r="R40" s="950">
        <f t="shared" si="9"/>
        <v>20</v>
      </c>
      <c r="S40" s="831">
        <f t="shared" si="2"/>
        <v>0.875</v>
      </c>
    </row>
    <row r="41" spans="1:19" ht="18.75" customHeight="1">
      <c r="A41" s="880" t="s">
        <v>52</v>
      </c>
      <c r="B41" s="833" t="s">
        <v>690</v>
      </c>
      <c r="C41" s="950">
        <f t="shared" si="10"/>
        <v>130</v>
      </c>
      <c r="D41" s="841">
        <v>69</v>
      </c>
      <c r="E41" s="841">
        <v>61</v>
      </c>
      <c r="F41" s="841">
        <v>0</v>
      </c>
      <c r="G41" s="956">
        <v>0</v>
      </c>
      <c r="H41" s="950">
        <f t="shared" si="13"/>
        <v>130</v>
      </c>
      <c r="I41" s="950">
        <f aca="true" t="shared" si="15" ref="I41:I46">J41+K41+L41+M41+N41+O41+P41</f>
        <v>85</v>
      </c>
      <c r="J41" s="841">
        <v>74</v>
      </c>
      <c r="K41" s="841">
        <v>0</v>
      </c>
      <c r="L41" s="841">
        <v>10</v>
      </c>
      <c r="M41" s="841">
        <v>0</v>
      </c>
      <c r="N41" s="841">
        <v>0</v>
      </c>
      <c r="O41" s="841">
        <v>0</v>
      </c>
      <c r="P41" s="841">
        <v>1</v>
      </c>
      <c r="Q41" s="841">
        <v>45</v>
      </c>
      <c r="R41" s="950">
        <f t="shared" si="9"/>
        <v>56</v>
      </c>
      <c r="S41" s="831">
        <f t="shared" si="2"/>
        <v>0.8705882352941177</v>
      </c>
    </row>
    <row r="42" spans="1:19" ht="18.75" customHeight="1">
      <c r="A42" s="880" t="s">
        <v>57</v>
      </c>
      <c r="B42" s="833" t="s">
        <v>691</v>
      </c>
      <c r="C42" s="950">
        <f t="shared" si="10"/>
        <v>139</v>
      </c>
      <c r="D42" s="841">
        <v>52</v>
      </c>
      <c r="E42" s="841">
        <v>87</v>
      </c>
      <c r="F42" s="841">
        <v>1</v>
      </c>
      <c r="G42" s="956">
        <v>0</v>
      </c>
      <c r="H42" s="950">
        <f t="shared" si="13"/>
        <v>138</v>
      </c>
      <c r="I42" s="950">
        <f t="shared" si="15"/>
        <v>94</v>
      </c>
      <c r="J42" s="841">
        <v>88</v>
      </c>
      <c r="K42" s="841">
        <v>0</v>
      </c>
      <c r="L42" s="841">
        <v>5</v>
      </c>
      <c r="M42" s="841">
        <v>0</v>
      </c>
      <c r="N42" s="841">
        <v>0</v>
      </c>
      <c r="O42" s="841">
        <v>0</v>
      </c>
      <c r="P42" s="841">
        <v>1</v>
      </c>
      <c r="Q42" s="841">
        <v>44</v>
      </c>
      <c r="R42" s="950">
        <f t="shared" si="9"/>
        <v>50</v>
      </c>
      <c r="S42" s="831">
        <f t="shared" si="2"/>
        <v>0.9361702127659575</v>
      </c>
    </row>
    <row r="43" spans="1:19" ht="18.75" customHeight="1">
      <c r="A43" s="880" t="s">
        <v>72</v>
      </c>
      <c r="B43" s="833" t="s">
        <v>692</v>
      </c>
      <c r="C43" s="950">
        <f t="shared" si="10"/>
        <v>118</v>
      </c>
      <c r="D43" s="841">
        <v>71</v>
      </c>
      <c r="E43" s="841">
        <v>47</v>
      </c>
      <c r="F43" s="841">
        <v>0</v>
      </c>
      <c r="G43" s="956">
        <v>0</v>
      </c>
      <c r="H43" s="950">
        <f t="shared" si="13"/>
        <v>118</v>
      </c>
      <c r="I43" s="950">
        <f t="shared" si="15"/>
        <v>67</v>
      </c>
      <c r="J43" s="841">
        <v>51</v>
      </c>
      <c r="K43" s="841">
        <v>1</v>
      </c>
      <c r="L43" s="841">
        <v>15</v>
      </c>
      <c r="M43" s="841">
        <v>0</v>
      </c>
      <c r="N43" s="841">
        <v>0</v>
      </c>
      <c r="O43" s="841">
        <v>0</v>
      </c>
      <c r="P43" s="841">
        <v>0</v>
      </c>
      <c r="Q43" s="841">
        <v>51</v>
      </c>
      <c r="R43" s="950">
        <f t="shared" si="9"/>
        <v>66</v>
      </c>
      <c r="S43" s="831">
        <f t="shared" si="2"/>
        <v>0.7761194029850746</v>
      </c>
    </row>
    <row r="44" spans="1:19" ht="18.75" customHeight="1">
      <c r="A44" s="880" t="s">
        <v>73</v>
      </c>
      <c r="B44" s="833" t="s">
        <v>693</v>
      </c>
      <c r="C44" s="950">
        <f t="shared" si="10"/>
        <v>184</v>
      </c>
      <c r="D44" s="841">
        <v>102</v>
      </c>
      <c r="E44" s="841">
        <v>82</v>
      </c>
      <c r="F44" s="841">
        <v>0</v>
      </c>
      <c r="G44" s="956"/>
      <c r="H44" s="950">
        <f t="shared" si="13"/>
        <v>184</v>
      </c>
      <c r="I44" s="950">
        <f t="shared" si="15"/>
        <v>127</v>
      </c>
      <c r="J44" s="841">
        <v>84</v>
      </c>
      <c r="K44" s="841">
        <v>4</v>
      </c>
      <c r="L44" s="841">
        <v>35</v>
      </c>
      <c r="M44" s="841">
        <v>3</v>
      </c>
      <c r="N44" s="841">
        <v>0</v>
      </c>
      <c r="O44" s="841">
        <v>0</v>
      </c>
      <c r="P44" s="841">
        <v>1</v>
      </c>
      <c r="Q44" s="841">
        <v>57</v>
      </c>
      <c r="R44" s="950">
        <f t="shared" si="9"/>
        <v>96</v>
      </c>
      <c r="S44" s="831">
        <f t="shared" si="2"/>
        <v>0.6929133858267716</v>
      </c>
    </row>
    <row r="45" spans="1:19" ht="18.75" customHeight="1">
      <c r="A45" s="880" t="s">
        <v>74</v>
      </c>
      <c r="B45" s="833" t="s">
        <v>701</v>
      </c>
      <c r="C45" s="950">
        <f t="shared" si="10"/>
        <v>130</v>
      </c>
      <c r="D45" s="841">
        <v>85</v>
      </c>
      <c r="E45" s="841">
        <v>45</v>
      </c>
      <c r="F45" s="841">
        <v>0</v>
      </c>
      <c r="G45" s="956">
        <v>0</v>
      </c>
      <c r="H45" s="950">
        <f t="shared" si="13"/>
        <v>130</v>
      </c>
      <c r="I45" s="950">
        <f t="shared" si="15"/>
        <v>63</v>
      </c>
      <c r="J45" s="841">
        <v>37</v>
      </c>
      <c r="K45" s="841">
        <v>0</v>
      </c>
      <c r="L45" s="841">
        <v>16</v>
      </c>
      <c r="M45" s="841">
        <v>10</v>
      </c>
      <c r="N45" s="841">
        <v>0</v>
      </c>
      <c r="O45" s="841">
        <v>0</v>
      </c>
      <c r="P45" s="841">
        <v>0</v>
      </c>
      <c r="Q45" s="841">
        <v>67</v>
      </c>
      <c r="R45" s="950">
        <f t="shared" si="9"/>
        <v>93</v>
      </c>
      <c r="S45" s="831">
        <f t="shared" si="2"/>
        <v>0.5873015873015873</v>
      </c>
    </row>
    <row r="46" spans="1:19" ht="18.75" customHeight="1">
      <c r="A46" s="880" t="s">
        <v>75</v>
      </c>
      <c r="B46" s="26" t="s">
        <v>681</v>
      </c>
      <c r="C46" s="950">
        <f t="shared" si="10"/>
        <v>91</v>
      </c>
      <c r="D46" s="841">
        <v>77</v>
      </c>
      <c r="E46" s="841">
        <v>14</v>
      </c>
      <c r="F46" s="841">
        <v>0</v>
      </c>
      <c r="G46" s="956">
        <v>0</v>
      </c>
      <c r="H46" s="950">
        <f t="shared" si="13"/>
        <v>91</v>
      </c>
      <c r="I46" s="950">
        <f t="shared" si="15"/>
        <v>33</v>
      </c>
      <c r="J46" s="841">
        <v>7</v>
      </c>
      <c r="K46" s="841">
        <v>1</v>
      </c>
      <c r="L46" s="841">
        <v>23</v>
      </c>
      <c r="M46" s="841">
        <v>0</v>
      </c>
      <c r="N46" s="841">
        <v>0</v>
      </c>
      <c r="O46" s="841">
        <v>0</v>
      </c>
      <c r="P46" s="841">
        <v>2</v>
      </c>
      <c r="Q46" s="841">
        <v>58</v>
      </c>
      <c r="R46" s="950">
        <f t="shared" si="9"/>
        <v>83</v>
      </c>
      <c r="S46" s="831">
        <f t="shared" si="2"/>
        <v>0.24242424242424243</v>
      </c>
    </row>
    <row r="47" spans="1:19" ht="18.75" customHeight="1">
      <c r="A47" s="499" t="s">
        <v>73</v>
      </c>
      <c r="B47" s="832" t="s">
        <v>695</v>
      </c>
      <c r="C47" s="895">
        <f>D47+E47</f>
        <v>422</v>
      </c>
      <c r="D47" s="895">
        <f aca="true" t="shared" si="16" ref="D47:J47">SUM(D48:D50)</f>
        <v>93</v>
      </c>
      <c r="E47" s="895">
        <f t="shared" si="16"/>
        <v>329</v>
      </c>
      <c r="F47" s="895">
        <f t="shared" si="16"/>
        <v>0</v>
      </c>
      <c r="G47" s="895">
        <f t="shared" si="16"/>
        <v>0</v>
      </c>
      <c r="H47" s="895">
        <f t="shared" si="16"/>
        <v>422</v>
      </c>
      <c r="I47" s="895">
        <f t="shared" si="16"/>
        <v>342</v>
      </c>
      <c r="J47" s="895">
        <f t="shared" si="16"/>
        <v>313</v>
      </c>
      <c r="K47" s="895">
        <f aca="true" t="shared" si="17" ref="K47:R47">SUM(K48:K50)</f>
        <v>0</v>
      </c>
      <c r="L47" s="895">
        <f t="shared" si="17"/>
        <v>29</v>
      </c>
      <c r="M47" s="895">
        <f t="shared" si="17"/>
        <v>0</v>
      </c>
      <c r="N47" s="895">
        <f t="shared" si="17"/>
        <v>0</v>
      </c>
      <c r="O47" s="895">
        <f t="shared" si="17"/>
        <v>0</v>
      </c>
      <c r="P47" s="895">
        <f t="shared" si="17"/>
        <v>0</v>
      </c>
      <c r="Q47" s="895">
        <f t="shared" si="17"/>
        <v>80</v>
      </c>
      <c r="R47" s="895">
        <f t="shared" si="17"/>
        <v>109</v>
      </c>
      <c r="S47" s="893">
        <f t="shared" si="2"/>
        <v>0.9152046783625731</v>
      </c>
    </row>
    <row r="48" spans="1:19" ht="18.75" customHeight="1">
      <c r="A48" s="942" t="s">
        <v>51</v>
      </c>
      <c r="B48" s="1087" t="s">
        <v>704</v>
      </c>
      <c r="C48" s="944">
        <f t="shared" si="10"/>
        <v>126</v>
      </c>
      <c r="D48" s="974">
        <v>15</v>
      </c>
      <c r="E48" s="974">
        <v>111</v>
      </c>
      <c r="F48" s="974"/>
      <c r="G48" s="959"/>
      <c r="H48" s="944">
        <f>I48+Q48</f>
        <v>126</v>
      </c>
      <c r="I48" s="944">
        <f>J48+K48+L48+M48+N48+O48+P48</f>
        <v>112</v>
      </c>
      <c r="J48" s="974">
        <v>107</v>
      </c>
      <c r="K48" s="974">
        <v>0</v>
      </c>
      <c r="L48" s="974">
        <v>5</v>
      </c>
      <c r="M48" s="974"/>
      <c r="N48" s="974"/>
      <c r="O48" s="974"/>
      <c r="P48" s="975"/>
      <c r="Q48" s="1097">
        <v>14</v>
      </c>
      <c r="R48" s="944">
        <f t="shared" si="9"/>
        <v>19</v>
      </c>
      <c r="S48" s="946">
        <f t="shared" si="2"/>
        <v>0.9553571428571429</v>
      </c>
    </row>
    <row r="49" spans="1:19" ht="18.75" customHeight="1">
      <c r="A49" s="942" t="s">
        <v>52</v>
      </c>
      <c r="B49" s="943" t="s">
        <v>697</v>
      </c>
      <c r="C49" s="944">
        <f aca="true" t="shared" si="18" ref="C49:C57">D49+E49</f>
        <v>140</v>
      </c>
      <c r="D49" s="974">
        <v>36</v>
      </c>
      <c r="E49" s="974">
        <v>104</v>
      </c>
      <c r="F49" s="974"/>
      <c r="G49" s="959"/>
      <c r="H49" s="944">
        <f>I49+Q49</f>
        <v>140</v>
      </c>
      <c r="I49" s="944">
        <f>J49+K49+L49+M49+N49+O49+P49</f>
        <v>112</v>
      </c>
      <c r="J49" s="974">
        <v>100</v>
      </c>
      <c r="K49" s="974"/>
      <c r="L49" s="974">
        <v>12</v>
      </c>
      <c r="M49" s="974"/>
      <c r="N49" s="974"/>
      <c r="O49" s="974"/>
      <c r="P49" s="975"/>
      <c r="Q49" s="1097">
        <v>28</v>
      </c>
      <c r="R49" s="944">
        <f>(C49-F49-J49-K49)+G49</f>
        <v>40</v>
      </c>
      <c r="S49" s="946">
        <f t="shared" si="2"/>
        <v>0.8928571428571429</v>
      </c>
    </row>
    <row r="50" spans="1:19" ht="18.75" customHeight="1">
      <c r="A50" s="960" t="s">
        <v>57</v>
      </c>
      <c r="B50" s="961" t="s">
        <v>702</v>
      </c>
      <c r="C50" s="944">
        <f t="shared" si="18"/>
        <v>156</v>
      </c>
      <c r="D50" s="974">
        <v>42</v>
      </c>
      <c r="E50" s="974">
        <v>114</v>
      </c>
      <c r="F50" s="974"/>
      <c r="G50" s="959"/>
      <c r="H50" s="944">
        <f>I50+Q50</f>
        <v>156</v>
      </c>
      <c r="I50" s="944">
        <f>J50+K50+L50+M50+N50+O50+P50</f>
        <v>118</v>
      </c>
      <c r="J50" s="974">
        <v>106</v>
      </c>
      <c r="K50" s="974">
        <v>0</v>
      </c>
      <c r="L50" s="974">
        <v>12</v>
      </c>
      <c r="M50" s="974"/>
      <c r="N50" s="974"/>
      <c r="O50" s="974"/>
      <c r="P50" s="975"/>
      <c r="Q50" s="1097">
        <v>38</v>
      </c>
      <c r="R50" s="944">
        <f>(C50-F50-J50-K50)+G50</f>
        <v>50</v>
      </c>
      <c r="S50" s="946">
        <f t="shared" si="2"/>
        <v>0.8983050847457628</v>
      </c>
    </row>
    <row r="51" spans="1:19" ht="18.75" customHeight="1">
      <c r="A51" s="499" t="s">
        <v>74</v>
      </c>
      <c r="B51" s="832" t="s">
        <v>698</v>
      </c>
      <c r="C51" s="1026">
        <f t="shared" si="18"/>
        <v>491</v>
      </c>
      <c r="D51" s="1026">
        <f>SUM(D52:D54)</f>
        <v>150</v>
      </c>
      <c r="E51" s="1026">
        <f>SUM(E52:E54)</f>
        <v>341</v>
      </c>
      <c r="F51" s="1026">
        <f>SUM(F52:F54)</f>
        <v>3</v>
      </c>
      <c r="G51" s="1026">
        <f>SUM(G52:G54)</f>
        <v>0</v>
      </c>
      <c r="H51" s="1026">
        <f>I51+Q51</f>
        <v>488</v>
      </c>
      <c r="I51" s="1026">
        <f>SUM(J51:P51)</f>
        <v>358</v>
      </c>
      <c r="J51" s="1026">
        <f aca="true" t="shared" si="19" ref="J51:R51">SUM(J52:J54)</f>
        <v>260</v>
      </c>
      <c r="K51" s="1026">
        <f t="shared" si="19"/>
        <v>5</v>
      </c>
      <c r="L51" s="1026">
        <f t="shared" si="19"/>
        <v>93</v>
      </c>
      <c r="M51" s="1026">
        <f t="shared" si="19"/>
        <v>0</v>
      </c>
      <c r="N51" s="1026">
        <f t="shared" si="19"/>
        <v>0</v>
      </c>
      <c r="O51" s="1026">
        <f t="shared" si="19"/>
        <v>0</v>
      </c>
      <c r="P51" s="1026">
        <f t="shared" si="19"/>
        <v>0</v>
      </c>
      <c r="Q51" s="1027">
        <f t="shared" si="19"/>
        <v>130</v>
      </c>
      <c r="R51" s="1026">
        <f t="shared" si="19"/>
        <v>223</v>
      </c>
      <c r="S51" s="1028">
        <f t="shared" si="2"/>
        <v>0.7402234636871509</v>
      </c>
    </row>
    <row r="52" spans="1:19" ht="18.75" customHeight="1">
      <c r="A52" s="880" t="s">
        <v>51</v>
      </c>
      <c r="B52" s="957" t="s">
        <v>699</v>
      </c>
      <c r="C52" s="950">
        <f t="shared" si="18"/>
        <v>85</v>
      </c>
      <c r="D52" s="1098">
        <v>28</v>
      </c>
      <c r="E52" s="1098">
        <v>57</v>
      </c>
      <c r="F52" s="1098">
        <v>1</v>
      </c>
      <c r="G52" s="958">
        <v>0</v>
      </c>
      <c r="H52" s="950">
        <f t="shared" si="11"/>
        <v>84</v>
      </c>
      <c r="I52" s="950">
        <f t="shared" si="8"/>
        <v>62</v>
      </c>
      <c r="J52" s="1098">
        <v>48</v>
      </c>
      <c r="K52" s="1098"/>
      <c r="L52" s="1098">
        <v>14</v>
      </c>
      <c r="M52" s="1098"/>
      <c r="N52" s="1099"/>
      <c r="O52" s="1099"/>
      <c r="P52" s="1099"/>
      <c r="Q52" s="1100">
        <v>22</v>
      </c>
      <c r="R52" s="950">
        <f>(C52-F52-J52-K52)+G52</f>
        <v>36</v>
      </c>
      <c r="S52" s="952">
        <f t="shared" si="2"/>
        <v>0.7741935483870968</v>
      </c>
    </row>
    <row r="53" spans="1:19" ht="18.75" customHeight="1">
      <c r="A53" s="880" t="s">
        <v>52</v>
      </c>
      <c r="B53" s="957" t="s">
        <v>700</v>
      </c>
      <c r="C53" s="950">
        <f t="shared" si="18"/>
        <v>181</v>
      </c>
      <c r="D53" s="1098">
        <v>54</v>
      </c>
      <c r="E53" s="1098">
        <v>127</v>
      </c>
      <c r="F53" s="1098"/>
      <c r="G53" s="958">
        <v>0</v>
      </c>
      <c r="H53" s="950">
        <f t="shared" si="11"/>
        <v>181</v>
      </c>
      <c r="I53" s="950">
        <f t="shared" si="8"/>
        <v>138</v>
      </c>
      <c r="J53" s="1098">
        <v>103</v>
      </c>
      <c r="K53" s="1098">
        <v>1</v>
      </c>
      <c r="L53" s="1098">
        <v>34</v>
      </c>
      <c r="M53" s="1098"/>
      <c r="N53" s="1099"/>
      <c r="O53" s="1099"/>
      <c r="P53" s="1099"/>
      <c r="Q53" s="1100">
        <v>43</v>
      </c>
      <c r="R53" s="950">
        <f>(C53-F53-J53-K53)+G53</f>
        <v>77</v>
      </c>
      <c r="S53" s="952">
        <f t="shared" si="2"/>
        <v>0.7536231884057971</v>
      </c>
    </row>
    <row r="54" spans="1:19" ht="18.75" customHeight="1">
      <c r="A54" s="880" t="s">
        <v>57</v>
      </c>
      <c r="B54" s="1167" t="s">
        <v>694</v>
      </c>
      <c r="C54" s="950">
        <f t="shared" si="18"/>
        <v>225</v>
      </c>
      <c r="D54" s="1098">
        <v>68</v>
      </c>
      <c r="E54" s="1098">
        <v>157</v>
      </c>
      <c r="F54" s="1098">
        <v>2</v>
      </c>
      <c r="G54" s="958">
        <v>0</v>
      </c>
      <c r="H54" s="950">
        <f t="shared" si="11"/>
        <v>223</v>
      </c>
      <c r="I54" s="950">
        <f t="shared" si="8"/>
        <v>158</v>
      </c>
      <c r="J54" s="1098">
        <v>109</v>
      </c>
      <c r="K54" s="1098">
        <v>4</v>
      </c>
      <c r="L54" s="1098">
        <v>45</v>
      </c>
      <c r="M54" s="1098"/>
      <c r="N54" s="1099"/>
      <c r="O54" s="1099"/>
      <c r="P54" s="1099"/>
      <c r="Q54" s="1100">
        <v>65</v>
      </c>
      <c r="R54" s="950">
        <f>(C54-F54-J54-K54)+G54</f>
        <v>110</v>
      </c>
      <c r="S54" s="952">
        <f t="shared" si="2"/>
        <v>0.7151898734177216</v>
      </c>
    </row>
    <row r="55" spans="1:19" ht="18.75" customHeight="1">
      <c r="A55" s="499" t="s">
        <v>75</v>
      </c>
      <c r="B55" s="832" t="s">
        <v>703</v>
      </c>
      <c r="C55" s="894">
        <f t="shared" si="18"/>
        <v>111</v>
      </c>
      <c r="D55" s="894">
        <f>SUM(D56:D57)</f>
        <v>56</v>
      </c>
      <c r="E55" s="894">
        <f>SUM(E56:E57)</f>
        <v>55</v>
      </c>
      <c r="F55" s="894">
        <f>SUM(F56:F57)</f>
        <v>3</v>
      </c>
      <c r="G55" s="894">
        <f>SUM(G56:G57)</f>
        <v>0</v>
      </c>
      <c r="H55" s="894">
        <f>I55+Q55</f>
        <v>108</v>
      </c>
      <c r="I55" s="894">
        <f aca="true" t="shared" si="20" ref="I55:R55">SUM(I56:I57)</f>
        <v>63</v>
      </c>
      <c r="J55" s="894">
        <f t="shared" si="20"/>
        <v>48</v>
      </c>
      <c r="K55" s="894">
        <f t="shared" si="20"/>
        <v>1</v>
      </c>
      <c r="L55" s="894">
        <f t="shared" si="20"/>
        <v>14</v>
      </c>
      <c r="M55" s="894">
        <f t="shared" si="20"/>
        <v>0</v>
      </c>
      <c r="N55" s="894">
        <f t="shared" si="20"/>
        <v>0</v>
      </c>
      <c r="O55" s="894">
        <f t="shared" si="20"/>
        <v>0</v>
      </c>
      <c r="P55" s="894">
        <f t="shared" si="20"/>
        <v>0</v>
      </c>
      <c r="Q55" s="895">
        <f t="shared" si="20"/>
        <v>45</v>
      </c>
      <c r="R55" s="894">
        <f t="shared" si="20"/>
        <v>59</v>
      </c>
      <c r="S55" s="893">
        <f t="shared" si="2"/>
        <v>0.7777777777777778</v>
      </c>
    </row>
    <row r="56" spans="1:19" ht="18.75" customHeight="1">
      <c r="A56" s="942" t="s">
        <v>51</v>
      </c>
      <c r="B56" s="1087" t="s">
        <v>696</v>
      </c>
      <c r="C56" s="944">
        <f t="shared" si="18"/>
        <v>62</v>
      </c>
      <c r="D56" s="1023">
        <v>20</v>
      </c>
      <c r="E56" s="1023">
        <v>42</v>
      </c>
      <c r="F56" s="1023">
        <v>2</v>
      </c>
      <c r="G56" s="945">
        <v>0</v>
      </c>
      <c r="H56" s="944">
        <f t="shared" si="11"/>
        <v>60</v>
      </c>
      <c r="I56" s="944">
        <f t="shared" si="8"/>
        <v>47</v>
      </c>
      <c r="J56" s="1023">
        <v>36</v>
      </c>
      <c r="K56" s="1023">
        <v>0</v>
      </c>
      <c r="L56" s="1023">
        <v>11</v>
      </c>
      <c r="M56" s="1023">
        <v>0</v>
      </c>
      <c r="N56" s="1024">
        <v>0</v>
      </c>
      <c r="O56" s="1024">
        <v>0</v>
      </c>
      <c r="P56" s="1024">
        <v>0</v>
      </c>
      <c r="Q56" s="1025">
        <v>13</v>
      </c>
      <c r="R56" s="944">
        <f>(C56-F56-J56-K56)+G56</f>
        <v>24</v>
      </c>
      <c r="S56" s="946">
        <f t="shared" si="2"/>
        <v>0.7659574468085106</v>
      </c>
    </row>
    <row r="57" spans="1:19" ht="23.25" customHeight="1">
      <c r="A57" s="942" t="s">
        <v>52</v>
      </c>
      <c r="B57" s="943" t="s">
        <v>705</v>
      </c>
      <c r="C57" s="944">
        <f t="shared" si="18"/>
        <v>49</v>
      </c>
      <c r="D57" s="1023">
        <v>36</v>
      </c>
      <c r="E57" s="1023">
        <v>13</v>
      </c>
      <c r="F57" s="1023">
        <v>1</v>
      </c>
      <c r="G57" s="945">
        <v>0</v>
      </c>
      <c r="H57" s="944">
        <f t="shared" si="11"/>
        <v>48</v>
      </c>
      <c r="I57" s="944">
        <f t="shared" si="8"/>
        <v>16</v>
      </c>
      <c r="J57" s="1023">
        <v>12</v>
      </c>
      <c r="K57" s="1023">
        <v>1</v>
      </c>
      <c r="L57" s="1023">
        <v>3</v>
      </c>
      <c r="M57" s="1023">
        <v>0</v>
      </c>
      <c r="N57" s="1024">
        <v>0</v>
      </c>
      <c r="O57" s="1024">
        <v>0</v>
      </c>
      <c r="P57" s="1024">
        <v>0</v>
      </c>
      <c r="Q57" s="1025">
        <v>32</v>
      </c>
      <c r="R57" s="944">
        <f>(C57-F57-J57-K57)+G57</f>
        <v>35</v>
      </c>
      <c r="S57" s="947">
        <f t="shared" si="2"/>
        <v>0.8125</v>
      </c>
    </row>
    <row r="58" spans="1:19" ht="18.75" customHeight="1">
      <c r="A58" s="499" t="s">
        <v>76</v>
      </c>
      <c r="B58" s="832" t="s">
        <v>706</v>
      </c>
      <c r="C58" s="895">
        <f>E58+D58</f>
        <v>55</v>
      </c>
      <c r="D58" s="895">
        <f>D59+D60</f>
        <v>17</v>
      </c>
      <c r="E58" s="895">
        <f>E59+E60</f>
        <v>38</v>
      </c>
      <c r="F58" s="895">
        <f>F59+F60</f>
        <v>0</v>
      </c>
      <c r="G58" s="895">
        <f>G59+G60</f>
        <v>0</v>
      </c>
      <c r="H58" s="895">
        <f>I58+Q58</f>
        <v>55</v>
      </c>
      <c r="I58" s="895">
        <f aca="true" t="shared" si="21" ref="I58:Q58">I59+I60</f>
        <v>35</v>
      </c>
      <c r="J58" s="895">
        <f t="shared" si="21"/>
        <v>24</v>
      </c>
      <c r="K58" s="895">
        <f t="shared" si="21"/>
        <v>0</v>
      </c>
      <c r="L58" s="895">
        <f t="shared" si="21"/>
        <v>11</v>
      </c>
      <c r="M58" s="895">
        <f t="shared" si="21"/>
        <v>0</v>
      </c>
      <c r="N58" s="895">
        <f t="shared" si="21"/>
        <v>0</v>
      </c>
      <c r="O58" s="895">
        <f t="shared" si="21"/>
        <v>0</v>
      </c>
      <c r="P58" s="895">
        <f t="shared" si="21"/>
        <v>0</v>
      </c>
      <c r="Q58" s="895">
        <f t="shared" si="21"/>
        <v>20</v>
      </c>
      <c r="R58" s="1166">
        <f>(C58-F58-J58-K58)+G58</f>
        <v>31</v>
      </c>
      <c r="S58" s="1068">
        <f>SUM(J58:K58)/SUM(I58)*100%</f>
        <v>0.6857142857142857</v>
      </c>
    </row>
    <row r="59" spans="1:19" ht="18.75" customHeight="1">
      <c r="A59" s="880" t="s">
        <v>51</v>
      </c>
      <c r="B59" s="834" t="s">
        <v>707</v>
      </c>
      <c r="C59" s="1086">
        <f>D59+E59</f>
        <v>18</v>
      </c>
      <c r="D59" s="1101">
        <v>4</v>
      </c>
      <c r="E59" s="1102">
        <v>14</v>
      </c>
      <c r="F59" s="1085">
        <v>0</v>
      </c>
      <c r="G59" s="1085">
        <v>0</v>
      </c>
      <c r="H59" s="1086">
        <f t="shared" si="11"/>
        <v>18</v>
      </c>
      <c r="I59" s="1086">
        <f t="shared" si="8"/>
        <v>14</v>
      </c>
      <c r="J59" s="1076">
        <v>11</v>
      </c>
      <c r="K59" s="1076">
        <v>0</v>
      </c>
      <c r="L59" s="1076">
        <v>3</v>
      </c>
      <c r="M59" s="1076">
        <v>0</v>
      </c>
      <c r="N59" s="1076">
        <v>0</v>
      </c>
      <c r="O59" s="1076">
        <v>0</v>
      </c>
      <c r="P59" s="1076">
        <v>0</v>
      </c>
      <c r="Q59" s="1076">
        <v>4</v>
      </c>
      <c r="R59" s="944">
        <f>(C59-F59-J59-K59)+G59</f>
        <v>7</v>
      </c>
      <c r="S59" s="1069">
        <f>SUM(J59:K59)/SUM(I59)*100%</f>
        <v>0.7857142857142857</v>
      </c>
    </row>
    <row r="60" spans="1:19" ht="18.75" customHeight="1">
      <c r="A60" s="880" t="s">
        <v>52</v>
      </c>
      <c r="B60" s="834" t="s">
        <v>708</v>
      </c>
      <c r="C60" s="1086">
        <f>D60+E60</f>
        <v>37</v>
      </c>
      <c r="D60" s="1101">
        <v>13</v>
      </c>
      <c r="E60" s="1102">
        <v>24</v>
      </c>
      <c r="F60" s="1085">
        <v>0</v>
      </c>
      <c r="G60" s="1085">
        <v>0</v>
      </c>
      <c r="H60" s="1086">
        <f t="shared" si="11"/>
        <v>37</v>
      </c>
      <c r="I60" s="1086">
        <f t="shared" si="8"/>
        <v>21</v>
      </c>
      <c r="J60" s="1076">
        <v>13</v>
      </c>
      <c r="K60" s="1076">
        <v>0</v>
      </c>
      <c r="L60" s="1076">
        <v>8</v>
      </c>
      <c r="M60" s="1076">
        <v>0</v>
      </c>
      <c r="N60" s="1076">
        <v>0</v>
      </c>
      <c r="O60" s="1076">
        <v>0</v>
      </c>
      <c r="P60" s="1076">
        <v>0</v>
      </c>
      <c r="Q60" s="1076">
        <v>16</v>
      </c>
      <c r="R60" s="944">
        <f>(C60-F60-J60-K60)+G60</f>
        <v>24</v>
      </c>
      <c r="S60" s="1069">
        <f>SUM(J60:K60)/SUM(I60)*100%</f>
        <v>0.6190476190476191</v>
      </c>
    </row>
    <row r="61" spans="1:20" ht="18.75" customHeight="1">
      <c r="A61" s="1597" t="s">
        <v>806</v>
      </c>
      <c r="B61" s="1597"/>
      <c r="C61" s="1597"/>
      <c r="D61" s="1597"/>
      <c r="E61" s="1597"/>
      <c r="F61" s="1597"/>
      <c r="G61" s="1597"/>
      <c r="H61" s="1597"/>
      <c r="I61" s="1597"/>
      <c r="J61" s="1597"/>
      <c r="K61" s="1597"/>
      <c r="L61" s="1597"/>
      <c r="M61" s="1597"/>
      <c r="N61" s="1597"/>
      <c r="O61" s="1597"/>
      <c r="P61" s="1597"/>
      <c r="Q61" s="1597"/>
      <c r="R61" s="1597"/>
      <c r="S61" s="1597"/>
      <c r="T61" s="1597"/>
    </row>
    <row r="62" spans="1:19" s="410" customFormat="1" ht="29.25" customHeight="1">
      <c r="A62" s="1577"/>
      <c r="B62" s="1577"/>
      <c r="C62" s="1577"/>
      <c r="D62" s="1577"/>
      <c r="E62" s="1577"/>
      <c r="F62" s="548"/>
      <c r="G62" s="548"/>
      <c r="H62" s="548"/>
      <c r="I62" s="548"/>
      <c r="J62" s="548"/>
      <c r="K62" s="548"/>
      <c r="L62" s="548"/>
      <c r="M62" s="548"/>
      <c r="N62" s="1578" t="str">
        <f>'Thong tin'!B8</f>
        <v>Tuyên Quang, ngày 05 tháng 04 năm 2017</v>
      </c>
      <c r="O62" s="1578"/>
      <c r="P62" s="1578"/>
      <c r="Q62" s="1578"/>
      <c r="R62" s="1578"/>
      <c r="S62" s="1578"/>
    </row>
    <row r="63" spans="1:19" s="411" customFormat="1" ht="19.5" customHeight="1">
      <c r="A63" s="552"/>
      <c r="B63" s="1558" t="s">
        <v>4</v>
      </c>
      <c r="C63" s="1558"/>
      <c r="D63" s="1558"/>
      <c r="E63" s="1558"/>
      <c r="F63" s="546"/>
      <c r="G63" s="546"/>
      <c r="H63" s="546"/>
      <c r="I63" s="546"/>
      <c r="J63" s="546"/>
      <c r="K63" s="546"/>
      <c r="L63" s="546"/>
      <c r="M63" s="546"/>
      <c r="N63" s="1576" t="str">
        <f>'Thong tin'!B7</f>
        <v>CỤC TRƯỞNG</v>
      </c>
      <c r="O63" s="1576"/>
      <c r="P63" s="1576"/>
      <c r="Q63" s="1576"/>
      <c r="R63" s="1576"/>
      <c r="S63" s="1576"/>
    </row>
    <row r="64" spans="1:19" ht="18.75">
      <c r="A64" s="536"/>
      <c r="B64" s="1573"/>
      <c r="C64" s="1573"/>
      <c r="D64" s="1573"/>
      <c r="E64" s="542"/>
      <c r="F64" s="542"/>
      <c r="G64" s="542"/>
      <c r="H64" s="542"/>
      <c r="I64" s="542"/>
      <c r="J64" s="542"/>
      <c r="K64" s="542"/>
      <c r="L64" s="542"/>
      <c r="M64" s="542"/>
      <c r="N64" s="1557"/>
      <c r="O64" s="1557"/>
      <c r="P64" s="1557"/>
      <c r="Q64" s="1557"/>
      <c r="R64" s="1557"/>
      <c r="S64" s="1557"/>
    </row>
    <row r="65" spans="1:19" ht="18.75">
      <c r="A65" s="536"/>
      <c r="B65" s="536"/>
      <c r="C65" s="536"/>
      <c r="D65" s="542"/>
      <c r="E65" s="542"/>
      <c r="F65" s="542"/>
      <c r="G65" s="542"/>
      <c r="H65" s="542"/>
      <c r="I65" s="542"/>
      <c r="J65" s="542"/>
      <c r="K65" s="542"/>
      <c r="L65" s="542"/>
      <c r="M65" s="542"/>
      <c r="N65" s="542"/>
      <c r="O65" s="542"/>
      <c r="P65" s="542"/>
      <c r="Q65" s="542"/>
      <c r="R65" s="536"/>
      <c r="S65" s="536"/>
    </row>
    <row r="66" spans="1:19" ht="18.75">
      <c r="A66" s="536"/>
      <c r="B66" s="1557"/>
      <c r="C66" s="1557"/>
      <c r="D66" s="1557"/>
      <c r="E66" s="1557"/>
      <c r="F66" s="542"/>
      <c r="G66" s="542"/>
      <c r="H66" s="542"/>
      <c r="I66" s="542"/>
      <c r="J66" s="542"/>
      <c r="K66" s="542"/>
      <c r="L66" s="542"/>
      <c r="M66" s="542"/>
      <c r="N66" s="542"/>
      <c r="O66" s="542"/>
      <c r="P66" s="1557"/>
      <c r="Q66" s="1557"/>
      <c r="R66" s="1557"/>
      <c r="S66" s="536"/>
    </row>
    <row r="67" spans="1:19" ht="15.75" customHeight="1">
      <c r="A67" s="553"/>
      <c r="B67" s="536"/>
      <c r="C67" s="536"/>
      <c r="D67" s="542"/>
      <c r="E67" s="542"/>
      <c r="F67" s="542"/>
      <c r="G67" s="542"/>
      <c r="H67" s="542"/>
      <c r="I67" s="542"/>
      <c r="J67" s="542"/>
      <c r="K67" s="542"/>
      <c r="L67" s="542"/>
      <c r="M67" s="542"/>
      <c r="N67" s="542"/>
      <c r="O67" s="542"/>
      <c r="P67" s="542"/>
      <c r="Q67" s="542"/>
      <c r="R67" s="536"/>
      <c r="S67" s="536"/>
    </row>
    <row r="68" spans="1:19" ht="15.75" customHeight="1">
      <c r="A68" s="536"/>
      <c r="B68" s="1596"/>
      <c r="C68" s="1596"/>
      <c r="D68" s="1596"/>
      <c r="E68" s="1596"/>
      <c r="F68" s="1596"/>
      <c r="G68" s="1596"/>
      <c r="H68" s="1596"/>
      <c r="I68" s="1596"/>
      <c r="J68" s="1596"/>
      <c r="K68" s="1596"/>
      <c r="L68" s="1596"/>
      <c r="M68" s="1596"/>
      <c r="N68" s="1596"/>
      <c r="O68" s="1596"/>
      <c r="P68" s="542"/>
      <c r="Q68" s="542"/>
      <c r="R68" s="536"/>
      <c r="S68" s="536"/>
    </row>
    <row r="69" spans="1:19" ht="18.75">
      <c r="A69" s="547"/>
      <c r="B69" s="547"/>
      <c r="C69" s="547"/>
      <c r="D69" s="547"/>
      <c r="E69" s="547"/>
      <c r="F69" s="547"/>
      <c r="G69" s="547"/>
      <c r="H69" s="547"/>
      <c r="I69" s="547"/>
      <c r="J69" s="547"/>
      <c r="K69" s="547"/>
      <c r="L69" s="547"/>
      <c r="M69" s="547"/>
      <c r="N69" s="547"/>
      <c r="O69" s="547"/>
      <c r="P69" s="547"/>
      <c r="Q69" s="536"/>
      <c r="R69" s="536"/>
      <c r="S69" s="536"/>
    </row>
    <row r="70" spans="1:19" ht="18.75">
      <c r="A70" s="536"/>
      <c r="B70" s="536"/>
      <c r="C70" s="536"/>
      <c r="D70" s="536"/>
      <c r="E70" s="536"/>
      <c r="F70" s="536"/>
      <c r="G70" s="536"/>
      <c r="H70" s="536"/>
      <c r="I70" s="536"/>
      <c r="J70" s="536"/>
      <c r="K70" s="536"/>
      <c r="L70" s="536"/>
      <c r="M70" s="536"/>
      <c r="N70" s="536"/>
      <c r="O70" s="536"/>
      <c r="P70" s="536"/>
      <c r="Q70" s="536"/>
      <c r="R70" s="536"/>
      <c r="S70" s="536"/>
    </row>
    <row r="71" spans="1:19" ht="18.75">
      <c r="A71" s="536"/>
      <c r="B71" s="1519" t="str">
        <f>'Thong tin'!B5</f>
        <v>Duy Thị Thúy</v>
      </c>
      <c r="C71" s="1519"/>
      <c r="D71" s="1519"/>
      <c r="E71" s="1519"/>
      <c r="F71" s="536"/>
      <c r="G71" s="536"/>
      <c r="H71" s="536"/>
      <c r="I71" s="536"/>
      <c r="J71" s="536"/>
      <c r="K71" s="536"/>
      <c r="L71" s="536"/>
      <c r="M71" s="536"/>
      <c r="N71" s="1519" t="str">
        <f>'Thong tin'!B6</f>
        <v>Nguyễn Tuyên </v>
      </c>
      <c r="O71" s="1519"/>
      <c r="P71" s="1519"/>
      <c r="Q71" s="1519"/>
      <c r="R71" s="1519"/>
      <c r="S71" s="1519"/>
    </row>
    <row r="72" spans="1:19" ht="18.75">
      <c r="A72" s="466"/>
      <c r="B72" s="466"/>
      <c r="C72" s="466"/>
      <c r="D72" s="466"/>
      <c r="E72" s="466"/>
      <c r="F72" s="466"/>
      <c r="G72" s="466"/>
      <c r="H72" s="466"/>
      <c r="I72" s="466"/>
      <c r="J72" s="466"/>
      <c r="K72" s="466"/>
      <c r="L72" s="466"/>
      <c r="M72" s="466"/>
      <c r="N72" s="466"/>
      <c r="O72" s="466"/>
      <c r="P72" s="466"/>
      <c r="Q72" s="466"/>
      <c r="R72" s="466"/>
      <c r="S72" s="466"/>
    </row>
  </sheetData>
  <sheetProtection/>
  <mergeCells count="37">
    <mergeCell ref="R6:R9"/>
    <mergeCell ref="C7:C9"/>
    <mergeCell ref="N71:S71"/>
    <mergeCell ref="D7:E7"/>
    <mergeCell ref="D8:D9"/>
    <mergeCell ref="E8:E9"/>
    <mergeCell ref="J8:P8"/>
    <mergeCell ref="B71:E71"/>
    <mergeCell ref="A10:B10"/>
    <mergeCell ref="B63:E63"/>
    <mergeCell ref="A11:B11"/>
    <mergeCell ref="N64:S64"/>
    <mergeCell ref="B68:O68"/>
    <mergeCell ref="B64:D64"/>
    <mergeCell ref="B66:E66"/>
    <mergeCell ref="P66:R66"/>
    <mergeCell ref="A61:T61"/>
    <mergeCell ref="E1:O1"/>
    <mergeCell ref="E2:O2"/>
    <mergeCell ref="E3:O3"/>
    <mergeCell ref="F6:F9"/>
    <mergeCell ref="G6:G9"/>
    <mergeCell ref="H6:Q6"/>
    <mergeCell ref="C6:E6"/>
    <mergeCell ref="P4:S4"/>
    <mergeCell ref="H7:H9"/>
    <mergeCell ref="Q7:Q9"/>
    <mergeCell ref="A2:D2"/>
    <mergeCell ref="P2:S2"/>
    <mergeCell ref="A3:D3"/>
    <mergeCell ref="N63:S63"/>
    <mergeCell ref="A62:E62"/>
    <mergeCell ref="N62:S62"/>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0"/>
  <sheetViews>
    <sheetView showZeros="0" tabSelected="1" zoomScale="85" zoomScaleNormal="85" zoomScaleSheetLayoutView="85" zoomScalePageLayoutView="0" workbookViewId="0" topLeftCell="A7">
      <pane ySplit="6" topLeftCell="A61" activePane="bottomLeft" state="frozen"/>
      <selection pane="topLeft" activeCell="A7" sqref="A7"/>
      <selection pane="bottomLeft" activeCell="H62" sqref="H62"/>
    </sheetView>
  </sheetViews>
  <sheetFormatPr defaultColWidth="9.00390625" defaultRowHeight="15.75"/>
  <cols>
    <col min="1" max="1" width="4.125" style="423" customWidth="1"/>
    <col min="2" max="2" width="15.625" style="423" customWidth="1"/>
    <col min="3" max="3" width="10.50390625" style="423" customWidth="1"/>
    <col min="4" max="4" width="10.25390625" style="423" customWidth="1"/>
    <col min="5" max="5" width="10.00390625" style="423" customWidth="1"/>
    <col min="6" max="6" width="8.875" style="423" customWidth="1"/>
    <col min="7" max="7" width="7.125" style="423" customWidth="1"/>
    <col min="8" max="8" width="10.25390625" style="423" customWidth="1"/>
    <col min="9" max="9" width="10.625" style="423" customWidth="1"/>
    <col min="10" max="10" width="9.625" style="423" customWidth="1"/>
    <col min="11" max="11" width="8.75390625" style="423" customWidth="1"/>
    <col min="12" max="12" width="5.625" style="423" customWidth="1"/>
    <col min="13" max="14" width="9.50390625" style="423" customWidth="1"/>
    <col min="15" max="15" width="9.375" style="423" customWidth="1"/>
    <col min="16" max="16" width="4.625" style="423" customWidth="1"/>
    <col min="17" max="17" width="8.25390625" style="423" customWidth="1"/>
    <col min="18" max="18" width="9.625" style="423" customWidth="1"/>
    <col min="19" max="19" width="10.00390625" style="423" customWidth="1"/>
    <col min="20" max="20" width="4.875" style="423" customWidth="1"/>
    <col min="21" max="22" width="9.00390625" style="423" customWidth="1"/>
    <col min="23" max="23" width="41.50390625" style="423" customWidth="1"/>
    <col min="24" max="16384" width="9.00390625" style="423" customWidth="1"/>
  </cols>
  <sheetData>
    <row r="1" spans="1:20" s="443" customFormat="1" ht="20.25" customHeight="1">
      <c r="A1" s="1000" t="s">
        <v>34</v>
      </c>
      <c r="B1" s="1000"/>
      <c r="C1" s="1000"/>
      <c r="D1" s="1001"/>
      <c r="E1" s="1618" t="s">
        <v>730</v>
      </c>
      <c r="F1" s="1618"/>
      <c r="G1" s="1618"/>
      <c r="H1" s="1618"/>
      <c r="I1" s="1618"/>
      <c r="J1" s="1618"/>
      <c r="K1" s="1618"/>
      <c r="L1" s="1618"/>
      <c r="M1" s="1618"/>
      <c r="N1" s="1618"/>
      <c r="O1" s="1618"/>
      <c r="P1" s="1618"/>
      <c r="Q1" s="1002" t="s">
        <v>565</v>
      </c>
      <c r="R1" s="1002"/>
      <c r="S1" s="1002"/>
      <c r="T1" s="1002"/>
    </row>
    <row r="2" spans="1:20" ht="17.25" customHeight="1">
      <c r="A2" s="1612" t="s">
        <v>342</v>
      </c>
      <c r="B2" s="1612"/>
      <c r="C2" s="1612"/>
      <c r="D2" s="1612"/>
      <c r="E2" s="1619" t="s">
        <v>41</v>
      </c>
      <c r="F2" s="1619"/>
      <c r="G2" s="1619"/>
      <c r="H2" s="1619"/>
      <c r="I2" s="1619"/>
      <c r="J2" s="1619"/>
      <c r="K2" s="1619"/>
      <c r="L2" s="1619"/>
      <c r="M2" s="1619"/>
      <c r="N2" s="1619"/>
      <c r="O2" s="1619"/>
      <c r="P2" s="1619"/>
      <c r="Q2" s="1625" t="str">
        <f>'Thong tin'!B4</f>
        <v>Cục THADS tỉnh Tuyên Quang</v>
      </c>
      <c r="R2" s="1625"/>
      <c r="S2" s="1625"/>
      <c r="T2" s="1625"/>
    </row>
    <row r="3" spans="1:20" s="443" customFormat="1" ht="18" customHeight="1">
      <c r="A3" s="1612" t="s">
        <v>343</v>
      </c>
      <c r="B3" s="1612"/>
      <c r="C3" s="1612"/>
      <c r="D3" s="1612"/>
      <c r="E3" s="1620" t="str">
        <f>'Thong tin'!B3</f>
        <v>06 tháng / năm 2017</v>
      </c>
      <c r="F3" s="1620"/>
      <c r="G3" s="1620"/>
      <c r="H3" s="1620"/>
      <c r="I3" s="1620"/>
      <c r="J3" s="1620"/>
      <c r="K3" s="1620"/>
      <c r="L3" s="1620"/>
      <c r="M3" s="1620"/>
      <c r="N3" s="1620"/>
      <c r="O3" s="1620"/>
      <c r="P3" s="1620"/>
      <c r="Q3" s="1002" t="s">
        <v>797</v>
      </c>
      <c r="R3" s="1000"/>
      <c r="S3" s="1002"/>
      <c r="T3" s="1002"/>
    </row>
    <row r="4" spans="1:20" ht="14.25" customHeight="1">
      <c r="A4" s="1003" t="s">
        <v>215</v>
      </c>
      <c r="B4" s="1000"/>
      <c r="C4" s="1000"/>
      <c r="D4" s="1000"/>
      <c r="E4" s="1000"/>
      <c r="F4" s="1000"/>
      <c r="G4" s="1000"/>
      <c r="H4" s="1000"/>
      <c r="I4" s="1000"/>
      <c r="J4" s="1000"/>
      <c r="K4" s="1000"/>
      <c r="L4" s="1000"/>
      <c r="M4" s="1000"/>
      <c r="N4" s="1000"/>
      <c r="O4" s="1004"/>
      <c r="P4" s="1004"/>
      <c r="Q4" s="1614" t="s">
        <v>410</v>
      </c>
      <c r="R4" s="1614"/>
      <c r="S4" s="1614"/>
      <c r="T4" s="1614"/>
    </row>
    <row r="5" spans="1:20" s="443" customFormat="1" ht="21.75" customHeight="1" thickBot="1">
      <c r="A5" s="1001"/>
      <c r="B5" s="1005"/>
      <c r="C5" s="1005"/>
      <c r="D5" s="1001"/>
      <c r="E5" s="1001"/>
      <c r="F5" s="1001"/>
      <c r="G5" s="1001"/>
      <c r="H5" s="1001"/>
      <c r="I5" s="1001"/>
      <c r="J5" s="1001"/>
      <c r="K5" s="1006"/>
      <c r="L5" s="1001"/>
      <c r="M5" s="1001"/>
      <c r="N5" s="1001"/>
      <c r="O5" s="1001"/>
      <c r="P5" s="1001"/>
      <c r="Q5" s="1609" t="s">
        <v>566</v>
      </c>
      <c r="R5" s="1609"/>
      <c r="S5" s="1609"/>
      <c r="T5" s="1609"/>
    </row>
    <row r="6" spans="1:36" s="443" customFormat="1" ht="18.75" customHeight="1" thickTop="1">
      <c r="A6" s="1605" t="s">
        <v>71</v>
      </c>
      <c r="B6" s="1606"/>
      <c r="C6" s="1623" t="s">
        <v>216</v>
      </c>
      <c r="D6" s="1623"/>
      <c r="E6" s="1623"/>
      <c r="F6" s="1621" t="s">
        <v>133</v>
      </c>
      <c r="G6" s="1621" t="s">
        <v>217</v>
      </c>
      <c r="H6" s="1622" t="s">
        <v>136</v>
      </c>
      <c r="I6" s="1622"/>
      <c r="J6" s="1622"/>
      <c r="K6" s="1622"/>
      <c r="L6" s="1622"/>
      <c r="M6" s="1622"/>
      <c r="N6" s="1622"/>
      <c r="O6" s="1622"/>
      <c r="P6" s="1622"/>
      <c r="Q6" s="1622"/>
      <c r="R6" s="1622"/>
      <c r="S6" s="1623" t="s">
        <v>352</v>
      </c>
      <c r="T6" s="1630" t="s">
        <v>564</v>
      </c>
      <c r="U6" s="449"/>
      <c r="V6" s="449"/>
      <c r="W6" s="449"/>
      <c r="X6" s="449"/>
      <c r="Y6" s="449"/>
      <c r="Z6" s="449"/>
      <c r="AA6" s="449"/>
      <c r="AB6" s="449"/>
      <c r="AC6" s="449"/>
      <c r="AD6" s="449"/>
      <c r="AE6" s="449"/>
      <c r="AF6" s="449"/>
      <c r="AG6" s="449"/>
      <c r="AH6" s="449"/>
      <c r="AI6" s="449"/>
      <c r="AJ6" s="449"/>
    </row>
    <row r="7" spans="1:36" s="502" customFormat="1" ht="21" customHeight="1">
      <c r="A7" s="1607"/>
      <c r="B7" s="1608"/>
      <c r="C7" s="1624" t="s">
        <v>50</v>
      </c>
      <c r="D7" s="1610" t="s">
        <v>7</v>
      </c>
      <c r="E7" s="1610"/>
      <c r="F7" s="1564"/>
      <c r="G7" s="1564"/>
      <c r="H7" s="1564" t="s">
        <v>136</v>
      </c>
      <c r="I7" s="1624" t="s">
        <v>137</v>
      </c>
      <c r="J7" s="1624"/>
      <c r="K7" s="1624"/>
      <c r="L7" s="1624"/>
      <c r="M7" s="1624"/>
      <c r="N7" s="1624"/>
      <c r="O7" s="1624"/>
      <c r="P7" s="1624"/>
      <c r="Q7" s="1624"/>
      <c r="R7" s="1564" t="s">
        <v>218</v>
      </c>
      <c r="S7" s="1624"/>
      <c r="T7" s="1631"/>
      <c r="U7" s="491"/>
      <c r="V7" s="491"/>
      <c r="W7" s="491"/>
      <c r="X7" s="491"/>
      <c r="Y7" s="491"/>
      <c r="Z7" s="491"/>
      <c r="AA7" s="491"/>
      <c r="AB7" s="491"/>
      <c r="AC7" s="491"/>
      <c r="AD7" s="491"/>
      <c r="AE7" s="491"/>
      <c r="AF7" s="491"/>
      <c r="AG7" s="491"/>
      <c r="AH7" s="491"/>
      <c r="AI7" s="491"/>
      <c r="AJ7" s="491"/>
    </row>
    <row r="8" spans="1:36" s="443" customFormat="1" ht="21.75" customHeight="1">
      <c r="A8" s="1607"/>
      <c r="B8" s="1608"/>
      <c r="C8" s="1624"/>
      <c r="D8" s="1610" t="s">
        <v>219</v>
      </c>
      <c r="E8" s="1610" t="s">
        <v>220</v>
      </c>
      <c r="F8" s="1564"/>
      <c r="G8" s="1564"/>
      <c r="H8" s="1564"/>
      <c r="I8" s="1564" t="s">
        <v>563</v>
      </c>
      <c r="J8" s="1610" t="s">
        <v>7</v>
      </c>
      <c r="K8" s="1610"/>
      <c r="L8" s="1610"/>
      <c r="M8" s="1610"/>
      <c r="N8" s="1610"/>
      <c r="O8" s="1610"/>
      <c r="P8" s="1610"/>
      <c r="Q8" s="1610"/>
      <c r="R8" s="1564"/>
      <c r="S8" s="1624"/>
      <c r="T8" s="1631"/>
      <c r="U8" s="449"/>
      <c r="V8" s="449"/>
      <c r="W8" s="449"/>
      <c r="X8" s="449"/>
      <c r="Y8" s="449"/>
      <c r="Z8" s="449"/>
      <c r="AA8" s="449"/>
      <c r="AB8" s="449"/>
      <c r="AC8" s="449"/>
      <c r="AD8" s="449"/>
      <c r="AE8" s="449"/>
      <c r="AF8" s="449"/>
      <c r="AG8" s="449"/>
      <c r="AH8" s="449"/>
      <c r="AI8" s="449"/>
      <c r="AJ8" s="449"/>
    </row>
    <row r="9" spans="1:36" s="443" customFormat="1" ht="84" customHeight="1">
      <c r="A9" s="1607"/>
      <c r="B9" s="1608"/>
      <c r="C9" s="1624"/>
      <c r="D9" s="1610"/>
      <c r="E9" s="1610"/>
      <c r="F9" s="1564"/>
      <c r="G9" s="1564"/>
      <c r="H9" s="1564"/>
      <c r="I9" s="1564"/>
      <c r="J9" s="1007" t="s">
        <v>221</v>
      </c>
      <c r="K9" s="1007" t="s">
        <v>222</v>
      </c>
      <c r="L9" s="1007" t="s">
        <v>201</v>
      </c>
      <c r="M9" s="1008" t="s">
        <v>141</v>
      </c>
      <c r="N9" s="1008" t="s">
        <v>223</v>
      </c>
      <c r="O9" s="1008" t="s">
        <v>145</v>
      </c>
      <c r="P9" s="1008" t="s">
        <v>353</v>
      </c>
      <c r="Q9" s="1008" t="s">
        <v>149</v>
      </c>
      <c r="R9" s="1564"/>
      <c r="S9" s="1624"/>
      <c r="T9" s="1631"/>
      <c r="U9" s="449"/>
      <c r="V9" s="449"/>
      <c r="W9" s="449"/>
      <c r="X9" s="449"/>
      <c r="Y9" s="449"/>
      <c r="Z9" s="449"/>
      <c r="AA9" s="449"/>
      <c r="AB9" s="449"/>
      <c r="AC9" s="449"/>
      <c r="AD9" s="449"/>
      <c r="AE9" s="449"/>
      <c r="AF9" s="449"/>
      <c r="AG9" s="449"/>
      <c r="AH9" s="449"/>
      <c r="AI9" s="449"/>
      <c r="AJ9" s="449"/>
    </row>
    <row r="10" spans="1:20" s="443" customFormat="1" ht="17.25" customHeight="1">
      <c r="A10" s="1627" t="s">
        <v>6</v>
      </c>
      <c r="B10" s="1628"/>
      <c r="C10" s="1009">
        <v>1</v>
      </c>
      <c r="D10" s="1009">
        <v>2</v>
      </c>
      <c r="E10" s="1009">
        <v>3</v>
      </c>
      <c r="F10" s="1009">
        <v>4</v>
      </c>
      <c r="G10" s="1009">
        <v>5</v>
      </c>
      <c r="H10" s="1009">
        <v>6</v>
      </c>
      <c r="I10" s="1009">
        <v>7</v>
      </c>
      <c r="J10" s="1009">
        <v>8</v>
      </c>
      <c r="K10" s="1009">
        <v>9</v>
      </c>
      <c r="L10" s="1009" t="s">
        <v>100</v>
      </c>
      <c r="M10" s="1009" t="s">
        <v>101</v>
      </c>
      <c r="N10" s="1009" t="s">
        <v>102</v>
      </c>
      <c r="O10" s="1009" t="s">
        <v>103</v>
      </c>
      <c r="P10" s="1009" t="s">
        <v>104</v>
      </c>
      <c r="Q10" s="1009" t="s">
        <v>355</v>
      </c>
      <c r="R10" s="1009" t="s">
        <v>356</v>
      </c>
      <c r="S10" s="1009" t="s">
        <v>357</v>
      </c>
      <c r="T10" s="1010" t="s">
        <v>358</v>
      </c>
    </row>
    <row r="11" spans="1:20" s="443" customFormat="1" ht="24" customHeight="1">
      <c r="A11" s="1011"/>
      <c r="B11" s="1043" t="s">
        <v>225</v>
      </c>
      <c r="C11" s="1044">
        <f aca="true" t="shared" si="0" ref="C11:S11">C12+C23+C31+C38+C46+C50+C54+C57</f>
        <v>105732363</v>
      </c>
      <c r="D11" s="1044">
        <f t="shared" si="0"/>
        <v>78414739</v>
      </c>
      <c r="E11" s="1044">
        <f t="shared" si="0"/>
        <v>27317624</v>
      </c>
      <c r="F11" s="1044">
        <f t="shared" si="0"/>
        <v>2119393</v>
      </c>
      <c r="G11" s="1045">
        <f t="shared" si="0"/>
        <v>570000</v>
      </c>
      <c r="H11" s="1045">
        <f t="shared" si="0"/>
        <v>103612970</v>
      </c>
      <c r="I11" s="1045">
        <f t="shared" si="0"/>
        <v>69722325</v>
      </c>
      <c r="J11" s="1044">
        <f t="shared" si="0"/>
        <v>7328729</v>
      </c>
      <c r="K11" s="1045">
        <f t="shared" si="0"/>
        <v>2315351</v>
      </c>
      <c r="L11" s="1045">
        <f t="shared" si="0"/>
        <v>31002</v>
      </c>
      <c r="M11" s="1045">
        <f t="shared" si="0"/>
        <v>38742903</v>
      </c>
      <c r="N11" s="1045">
        <f t="shared" si="0"/>
        <v>19095885</v>
      </c>
      <c r="O11" s="1045">
        <f t="shared" si="0"/>
        <v>2019074</v>
      </c>
      <c r="P11" s="1045">
        <f t="shared" si="0"/>
        <v>0</v>
      </c>
      <c r="Q11" s="1045">
        <f t="shared" si="0"/>
        <v>189381</v>
      </c>
      <c r="R11" s="1045">
        <f>R12+R23+R31+R38+R46+R50+R54+R57</f>
        <v>33890645</v>
      </c>
      <c r="S11" s="1045">
        <f t="shared" si="0"/>
        <v>93937888</v>
      </c>
      <c r="T11" s="1046">
        <f>(K11+J11+L11)/I11</f>
        <v>0.13876591177933323</v>
      </c>
    </row>
    <row r="12" spans="1:20" s="443" customFormat="1" ht="26.25" customHeight="1">
      <c r="A12" s="1012" t="s">
        <v>0</v>
      </c>
      <c r="B12" s="1032" t="s">
        <v>710</v>
      </c>
      <c r="C12" s="1047">
        <f>D12+E12</f>
        <v>11549080</v>
      </c>
      <c r="D12" s="1047">
        <f aca="true" t="shared" si="1" ref="D12:S12">SUM(D13:D22)</f>
        <v>5780766</v>
      </c>
      <c r="E12" s="1047">
        <f t="shared" si="1"/>
        <v>5768314</v>
      </c>
      <c r="F12" s="1047">
        <f t="shared" si="1"/>
        <v>970985</v>
      </c>
      <c r="G12" s="1047">
        <f t="shared" si="1"/>
        <v>570000</v>
      </c>
      <c r="H12" s="1047">
        <f t="shared" si="1"/>
        <v>10578095</v>
      </c>
      <c r="I12" s="1047">
        <f t="shared" si="1"/>
        <v>7956087</v>
      </c>
      <c r="J12" s="1047">
        <f t="shared" si="1"/>
        <v>978453</v>
      </c>
      <c r="K12" s="1047">
        <f t="shared" si="1"/>
        <v>0</v>
      </c>
      <c r="L12" s="1047">
        <f t="shared" si="1"/>
        <v>5714</v>
      </c>
      <c r="M12" s="1047">
        <f t="shared" si="1"/>
        <v>6971920</v>
      </c>
      <c r="N12" s="1047">
        <f t="shared" si="1"/>
        <v>0</v>
      </c>
      <c r="O12" s="1047">
        <f t="shared" si="1"/>
        <v>0</v>
      </c>
      <c r="P12" s="1047">
        <f t="shared" si="1"/>
        <v>0</v>
      </c>
      <c r="Q12" s="1047">
        <f t="shared" si="1"/>
        <v>0</v>
      </c>
      <c r="R12" s="1047">
        <f t="shared" si="1"/>
        <v>2622008</v>
      </c>
      <c r="S12" s="1047">
        <f t="shared" si="1"/>
        <v>9593928</v>
      </c>
      <c r="T12" s="1048">
        <f>(K12+J12+L12)/I12</f>
        <v>0.12369987909885852</v>
      </c>
    </row>
    <row r="13" spans="1:23" s="443" customFormat="1" ht="26.25" customHeight="1">
      <c r="A13" s="1013" t="s">
        <v>51</v>
      </c>
      <c r="B13" s="1049" t="s">
        <v>667</v>
      </c>
      <c r="C13" s="1050">
        <f aca="true" t="shared" si="2" ref="C13:C22">D13+E13</f>
        <v>1127093</v>
      </c>
      <c r="D13" s="1072">
        <v>678147</v>
      </c>
      <c r="E13" s="1073">
        <f>448946</f>
        <v>448946</v>
      </c>
      <c r="F13" s="1074">
        <v>279631</v>
      </c>
      <c r="G13" s="1051">
        <v>0</v>
      </c>
      <c r="H13" s="1050">
        <f aca="true" t="shared" si="3" ref="H13:H30">I13+R13</f>
        <v>847462</v>
      </c>
      <c r="I13" s="1050">
        <f aca="true" t="shared" si="4" ref="I13:I21">J13+K13+L13+M13+N13+O13+P13+Q13</f>
        <v>484926</v>
      </c>
      <c r="J13" s="1073">
        <v>146705</v>
      </c>
      <c r="K13" s="1073">
        <v>0</v>
      </c>
      <c r="L13" s="1073">
        <v>5714</v>
      </c>
      <c r="M13" s="1073">
        <v>332507</v>
      </c>
      <c r="N13" s="1074"/>
      <c r="O13" s="1078">
        <v>0</v>
      </c>
      <c r="P13" s="1078">
        <v>0</v>
      </c>
      <c r="Q13" s="1078"/>
      <c r="R13" s="1079">
        <v>362536</v>
      </c>
      <c r="S13" s="1050">
        <f>C13-F13-J13-K13-L13</f>
        <v>695043</v>
      </c>
      <c r="T13" s="1052">
        <f aca="true" t="shared" si="5" ref="T13:T59">(K13+J13+L13)/I13</f>
        <v>0.31431393655939255</v>
      </c>
      <c r="W13" s="2"/>
    </row>
    <row r="14" spans="1:20" s="443" customFormat="1" ht="26.25" customHeight="1">
      <c r="A14" s="1013" t="s">
        <v>52</v>
      </c>
      <c r="B14" s="1049" t="s">
        <v>668</v>
      </c>
      <c r="C14" s="1050">
        <f t="shared" si="2"/>
        <v>2970859</v>
      </c>
      <c r="D14" s="1072">
        <v>1852547</v>
      </c>
      <c r="E14" s="1073">
        <v>1118312</v>
      </c>
      <c r="F14" s="1074">
        <v>5989</v>
      </c>
      <c r="G14" s="1051">
        <v>0</v>
      </c>
      <c r="H14" s="1050">
        <f t="shared" si="3"/>
        <v>2964870</v>
      </c>
      <c r="I14" s="1050">
        <f t="shared" si="4"/>
        <v>2788290</v>
      </c>
      <c r="J14" s="1073">
        <v>225031</v>
      </c>
      <c r="K14" s="1073">
        <v>0</v>
      </c>
      <c r="L14" s="1073">
        <v>0</v>
      </c>
      <c r="M14" s="1073">
        <v>2563259</v>
      </c>
      <c r="N14" s="1074"/>
      <c r="O14" s="1078">
        <v>0</v>
      </c>
      <c r="P14" s="1078">
        <v>0</v>
      </c>
      <c r="Q14" s="1078"/>
      <c r="R14" s="1079">
        <v>176580</v>
      </c>
      <c r="S14" s="1050">
        <f aca="true" t="shared" si="6" ref="S14:S22">C14-F14-J14-K14-L14</f>
        <v>2739839</v>
      </c>
      <c r="T14" s="1052">
        <f t="shared" si="5"/>
        <v>0.08070573720810963</v>
      </c>
    </row>
    <row r="15" spans="1:20" s="443" customFormat="1" ht="26.25" customHeight="1">
      <c r="A15" s="1013" t="s">
        <v>57</v>
      </c>
      <c r="B15" s="1049" t="s">
        <v>669</v>
      </c>
      <c r="C15" s="1050">
        <f t="shared" si="2"/>
        <v>5435864</v>
      </c>
      <c r="D15" s="1072">
        <v>1775502</v>
      </c>
      <c r="E15" s="1075">
        <v>3660362</v>
      </c>
      <c r="F15" s="1076">
        <v>650614</v>
      </c>
      <c r="G15" s="1053">
        <v>570000</v>
      </c>
      <c r="H15" s="1050">
        <f t="shared" si="3"/>
        <v>4785250</v>
      </c>
      <c r="I15" s="1050">
        <f t="shared" si="4"/>
        <v>4162044</v>
      </c>
      <c r="J15" s="1075">
        <v>419653</v>
      </c>
      <c r="K15" s="1075">
        <v>0</v>
      </c>
      <c r="L15" s="1075">
        <v>0</v>
      </c>
      <c r="M15" s="1075">
        <v>3742391</v>
      </c>
      <c r="N15" s="1076"/>
      <c r="O15" s="1080">
        <v>0</v>
      </c>
      <c r="P15" s="1080">
        <v>0</v>
      </c>
      <c r="Q15" s="1080"/>
      <c r="R15" s="1079">
        <v>623206</v>
      </c>
      <c r="S15" s="1050">
        <f t="shared" si="6"/>
        <v>4365597</v>
      </c>
      <c r="T15" s="1052">
        <f t="shared" si="5"/>
        <v>0.10082858326341576</v>
      </c>
    </row>
    <row r="16" spans="1:20" ht="24.75" customHeight="1">
      <c r="A16" s="1013">
        <v>4</v>
      </c>
      <c r="B16" s="1049" t="s">
        <v>670</v>
      </c>
      <c r="C16" s="1050">
        <f t="shared" si="2"/>
        <v>13548</v>
      </c>
      <c r="D16" s="1077">
        <v>0</v>
      </c>
      <c r="E16" s="1073">
        <f>13498+50</f>
        <v>13548</v>
      </c>
      <c r="F16" s="1074">
        <v>0</v>
      </c>
      <c r="G16" s="1051">
        <v>0</v>
      </c>
      <c r="H16" s="1050">
        <f t="shared" si="3"/>
        <v>13548</v>
      </c>
      <c r="I16" s="1050">
        <f t="shared" si="4"/>
        <v>13548</v>
      </c>
      <c r="J16" s="1073">
        <v>10048</v>
      </c>
      <c r="K16" s="1073"/>
      <c r="L16" s="1073"/>
      <c r="M16" s="1073">
        <v>3500</v>
      </c>
      <c r="N16" s="1074"/>
      <c r="O16" s="1078">
        <v>0</v>
      </c>
      <c r="P16" s="1078">
        <v>0</v>
      </c>
      <c r="Q16" s="1078"/>
      <c r="R16" s="1079">
        <v>0</v>
      </c>
      <c r="S16" s="1050">
        <f t="shared" si="6"/>
        <v>3500</v>
      </c>
      <c r="T16" s="1052">
        <f t="shared" si="5"/>
        <v>0.7416592855033953</v>
      </c>
    </row>
    <row r="17" spans="1:20" ht="24.75" customHeight="1">
      <c r="A17" s="1013">
        <v>5</v>
      </c>
      <c r="B17" s="1049" t="s">
        <v>671</v>
      </c>
      <c r="C17" s="1050">
        <f t="shared" si="2"/>
        <v>54935</v>
      </c>
      <c r="D17" s="1077">
        <v>44825</v>
      </c>
      <c r="E17" s="1073">
        <v>10110</v>
      </c>
      <c r="F17" s="1074">
        <v>0</v>
      </c>
      <c r="G17" s="1051">
        <v>0</v>
      </c>
      <c r="H17" s="1050">
        <f t="shared" si="3"/>
        <v>54935</v>
      </c>
      <c r="I17" s="1050">
        <f t="shared" si="4"/>
        <v>10110</v>
      </c>
      <c r="J17" s="1073">
        <v>7200</v>
      </c>
      <c r="K17" s="1073"/>
      <c r="L17" s="1073"/>
      <c r="M17" s="1073">
        <v>2910</v>
      </c>
      <c r="N17" s="1074"/>
      <c r="O17" s="1078">
        <v>0</v>
      </c>
      <c r="P17" s="1078">
        <v>0</v>
      </c>
      <c r="Q17" s="1078"/>
      <c r="R17" s="1079">
        <v>44825</v>
      </c>
      <c r="S17" s="1050">
        <f t="shared" si="6"/>
        <v>47735</v>
      </c>
      <c r="T17" s="1052">
        <f t="shared" si="5"/>
        <v>0.712166172106825</v>
      </c>
    </row>
    <row r="18" spans="1:20" ht="24.75" customHeight="1">
      <c r="A18" s="1013">
        <v>6</v>
      </c>
      <c r="B18" s="1054" t="s">
        <v>672</v>
      </c>
      <c r="C18" s="1050">
        <f t="shared" si="2"/>
        <v>1743960</v>
      </c>
      <c r="D18" s="1072">
        <v>1388495</v>
      </c>
      <c r="E18" s="1073">
        <v>355465</v>
      </c>
      <c r="F18" s="1074">
        <v>34751</v>
      </c>
      <c r="G18" s="1051">
        <v>0</v>
      </c>
      <c r="H18" s="1050">
        <f t="shared" si="3"/>
        <v>1709209</v>
      </c>
      <c r="I18" s="1050">
        <f t="shared" si="4"/>
        <v>433409</v>
      </c>
      <c r="J18" s="1073">
        <v>115256</v>
      </c>
      <c r="K18" s="1073">
        <v>0</v>
      </c>
      <c r="L18" s="1073">
        <v>0</v>
      </c>
      <c r="M18" s="1073">
        <v>318153</v>
      </c>
      <c r="N18" s="1074"/>
      <c r="O18" s="1078">
        <v>0</v>
      </c>
      <c r="P18" s="1078">
        <v>0</v>
      </c>
      <c r="Q18" s="1078"/>
      <c r="R18" s="1079">
        <v>1275800</v>
      </c>
      <c r="S18" s="1050">
        <f t="shared" si="6"/>
        <v>1593953</v>
      </c>
      <c r="T18" s="1052">
        <f t="shared" si="5"/>
        <v>0.2659289493296171</v>
      </c>
    </row>
    <row r="19" spans="1:20" ht="28.5" customHeight="1">
      <c r="A19" s="1013">
        <v>7</v>
      </c>
      <c r="B19" s="1049" t="s">
        <v>673</v>
      </c>
      <c r="C19" s="1050">
        <f t="shared" si="2"/>
        <v>27270</v>
      </c>
      <c r="D19" s="1077">
        <v>0</v>
      </c>
      <c r="E19" s="1073">
        <v>27270</v>
      </c>
      <c r="F19" s="1074">
        <v>0</v>
      </c>
      <c r="G19" s="1051">
        <v>0</v>
      </c>
      <c r="H19" s="1050">
        <f t="shared" si="3"/>
        <v>27270</v>
      </c>
      <c r="I19" s="1050">
        <f t="shared" si="4"/>
        <v>27270</v>
      </c>
      <c r="J19" s="1073">
        <v>27270</v>
      </c>
      <c r="K19" s="1073"/>
      <c r="L19" s="1073"/>
      <c r="M19" s="1073">
        <v>0</v>
      </c>
      <c r="N19" s="1074"/>
      <c r="O19" s="1078">
        <v>0</v>
      </c>
      <c r="P19" s="1078">
        <v>0</v>
      </c>
      <c r="Q19" s="1078"/>
      <c r="R19" s="1079">
        <v>0</v>
      </c>
      <c r="S19" s="1050">
        <f t="shared" si="6"/>
        <v>0</v>
      </c>
      <c r="T19" s="1052">
        <f t="shared" si="5"/>
        <v>1</v>
      </c>
    </row>
    <row r="20" spans="1:20" ht="28.5" customHeight="1">
      <c r="A20" s="1013">
        <v>8</v>
      </c>
      <c r="B20" s="1049" t="s">
        <v>735</v>
      </c>
      <c r="C20" s="1050">
        <f t="shared" si="2"/>
        <v>149311</v>
      </c>
      <c r="D20" s="1077">
        <v>40000</v>
      </c>
      <c r="E20" s="1073">
        <v>109311</v>
      </c>
      <c r="F20" s="1074"/>
      <c r="G20" s="1051"/>
      <c r="H20" s="1050">
        <f t="shared" si="3"/>
        <v>149311</v>
      </c>
      <c r="I20" s="1050">
        <f t="shared" si="4"/>
        <v>11500</v>
      </c>
      <c r="J20" s="1073">
        <v>11500</v>
      </c>
      <c r="K20" s="1073"/>
      <c r="L20" s="1073"/>
      <c r="M20" s="1073">
        <v>0</v>
      </c>
      <c r="N20" s="1074"/>
      <c r="O20" s="1078"/>
      <c r="P20" s="1078"/>
      <c r="Q20" s="1078"/>
      <c r="R20" s="1079">
        <v>137811</v>
      </c>
      <c r="S20" s="1050">
        <f t="shared" si="6"/>
        <v>137811</v>
      </c>
      <c r="T20" s="1052">
        <f t="shared" si="5"/>
        <v>1</v>
      </c>
    </row>
    <row r="21" spans="1:20" s="443" customFormat="1" ht="24.75" customHeight="1">
      <c r="A21" s="1013">
        <v>9</v>
      </c>
      <c r="B21" s="1049" t="s">
        <v>674</v>
      </c>
      <c r="C21" s="1050">
        <f t="shared" si="2"/>
        <v>15962</v>
      </c>
      <c r="D21" s="1077">
        <v>1250</v>
      </c>
      <c r="E21" s="1073">
        <v>14712</v>
      </c>
      <c r="F21" s="1074">
        <v>0</v>
      </c>
      <c r="G21" s="1051">
        <v>0</v>
      </c>
      <c r="H21" s="1050">
        <f t="shared" si="3"/>
        <v>15962</v>
      </c>
      <c r="I21" s="1050">
        <f t="shared" si="4"/>
        <v>14712</v>
      </c>
      <c r="J21" s="1073">
        <v>5512</v>
      </c>
      <c r="K21" s="1073"/>
      <c r="L21" s="1073"/>
      <c r="M21" s="1073">
        <v>9200</v>
      </c>
      <c r="N21" s="1074"/>
      <c r="O21" s="1078">
        <v>0</v>
      </c>
      <c r="P21" s="1078">
        <v>0</v>
      </c>
      <c r="Q21" s="1078"/>
      <c r="R21" s="1079">
        <v>1250</v>
      </c>
      <c r="S21" s="1050">
        <f t="shared" si="6"/>
        <v>10450</v>
      </c>
      <c r="T21" s="1052">
        <f t="shared" si="5"/>
        <v>0.3746601413811854</v>
      </c>
    </row>
    <row r="22" spans="1:20" s="443" customFormat="1" ht="24.75" customHeight="1">
      <c r="A22" s="1013">
        <v>10</v>
      </c>
      <c r="B22" s="1055" t="s">
        <v>675</v>
      </c>
      <c r="C22" s="1050">
        <f t="shared" si="2"/>
        <v>10278</v>
      </c>
      <c r="D22" s="1077">
        <v>0</v>
      </c>
      <c r="E22" s="1073">
        <v>10278</v>
      </c>
      <c r="F22" s="1074">
        <v>0</v>
      </c>
      <c r="G22" s="1051">
        <v>0</v>
      </c>
      <c r="H22" s="1050">
        <f t="shared" si="3"/>
        <v>10278</v>
      </c>
      <c r="I22" s="1050">
        <f>J22+K22+L22+M22+N22+O22+P22+Q22</f>
        <v>10278</v>
      </c>
      <c r="J22" s="1073">
        <v>10278</v>
      </c>
      <c r="K22" s="1073"/>
      <c r="L22" s="1073"/>
      <c r="M22" s="1073">
        <v>0</v>
      </c>
      <c r="N22" s="1074"/>
      <c r="O22" s="1078">
        <v>0</v>
      </c>
      <c r="P22" s="1078">
        <v>0</v>
      </c>
      <c r="Q22" s="1078"/>
      <c r="R22" s="1079">
        <v>0</v>
      </c>
      <c r="S22" s="1050">
        <f t="shared" si="6"/>
        <v>0</v>
      </c>
      <c r="T22" s="1052">
        <f t="shared" si="5"/>
        <v>1</v>
      </c>
    </row>
    <row r="23" spans="1:20" s="443" customFormat="1" ht="24.75" customHeight="1">
      <c r="A23" s="1031" t="s">
        <v>0</v>
      </c>
      <c r="B23" s="1032" t="s">
        <v>711</v>
      </c>
      <c r="C23" s="1033">
        <f>D23+E23</f>
        <v>44043344</v>
      </c>
      <c r="D23" s="1033">
        <f>SUM(D24:D30)</f>
        <v>33507345</v>
      </c>
      <c r="E23" s="1033">
        <f>SUM(E24:E30)</f>
        <v>10535999</v>
      </c>
      <c r="F23" s="1033">
        <f>SUM(F24:F30)</f>
        <v>392006</v>
      </c>
      <c r="G23" s="1033">
        <f>SUM(G24:G30)</f>
        <v>0</v>
      </c>
      <c r="H23" s="1033">
        <f>I23+R23</f>
        <v>43651338</v>
      </c>
      <c r="I23" s="1033">
        <f>SUM(J23:Q23)</f>
        <v>25434657</v>
      </c>
      <c r="J23" s="1033">
        <f aca="true" t="shared" si="7" ref="J23:S23">SUM(J24:J30)</f>
        <v>1438309</v>
      </c>
      <c r="K23" s="1033">
        <f t="shared" si="7"/>
        <v>1863332</v>
      </c>
      <c r="L23" s="1033">
        <f t="shared" si="7"/>
        <v>0</v>
      </c>
      <c r="M23" s="1033">
        <f t="shared" si="7"/>
        <v>4916944</v>
      </c>
      <c r="N23" s="1033">
        <f t="shared" si="7"/>
        <v>15193192</v>
      </c>
      <c r="O23" s="1033">
        <f t="shared" si="7"/>
        <v>2019074</v>
      </c>
      <c r="P23" s="1033">
        <f t="shared" si="7"/>
        <v>0</v>
      </c>
      <c r="Q23" s="1033">
        <f t="shared" si="7"/>
        <v>3806</v>
      </c>
      <c r="R23" s="1033">
        <f t="shared" si="7"/>
        <v>18216681</v>
      </c>
      <c r="S23" s="1033">
        <f t="shared" si="7"/>
        <v>40349697</v>
      </c>
      <c r="T23" s="1034">
        <f>(K23+J23+L23)/I23</f>
        <v>0.12980874874782075</v>
      </c>
    </row>
    <row r="24" spans="1:20" s="443" customFormat="1" ht="24.75" customHeight="1">
      <c r="A24" s="1013" t="s">
        <v>51</v>
      </c>
      <c r="B24" s="1092" t="s">
        <v>678</v>
      </c>
      <c r="C24" s="1057">
        <f>D24+E24</f>
        <v>715262</v>
      </c>
      <c r="D24" s="1091">
        <v>377595</v>
      </c>
      <c r="E24" s="1091">
        <v>337667</v>
      </c>
      <c r="F24" s="1091">
        <v>73135</v>
      </c>
      <c r="G24" s="1057">
        <v>0</v>
      </c>
      <c r="H24" s="1057">
        <f t="shared" si="3"/>
        <v>642127</v>
      </c>
      <c r="I24" s="1057">
        <f aca="true" t="shared" si="8" ref="I24:I30">SUM(J24:Q24)</f>
        <v>642127</v>
      </c>
      <c r="J24" s="1091">
        <v>598480</v>
      </c>
      <c r="K24" s="1091">
        <v>43647</v>
      </c>
      <c r="L24" s="1091">
        <v>0</v>
      </c>
      <c r="M24" s="1091">
        <v>0</v>
      </c>
      <c r="N24" s="1091">
        <v>0</v>
      </c>
      <c r="O24" s="1091"/>
      <c r="P24" s="1091"/>
      <c r="Q24" s="1091"/>
      <c r="R24" s="1091">
        <v>0</v>
      </c>
      <c r="S24" s="1057">
        <f>C24-F24-G24-J24-K24-L24</f>
        <v>0</v>
      </c>
      <c r="T24" s="1059">
        <f t="shared" si="5"/>
        <v>1</v>
      </c>
    </row>
    <row r="25" spans="1:20" s="443" customFormat="1" ht="24.75" customHeight="1">
      <c r="A25" s="1013" t="s">
        <v>52</v>
      </c>
      <c r="B25" s="1093" t="s">
        <v>679</v>
      </c>
      <c r="C25" s="1057">
        <f aca="true" t="shared" si="9" ref="C25:C30">D25+E25</f>
        <v>4169407</v>
      </c>
      <c r="D25" s="1091">
        <v>3246568</v>
      </c>
      <c r="E25" s="1091">
        <v>922839</v>
      </c>
      <c r="F25" s="1091">
        <v>0</v>
      </c>
      <c r="G25" s="1057">
        <v>0</v>
      </c>
      <c r="H25" s="1057">
        <f t="shared" si="3"/>
        <v>4169407</v>
      </c>
      <c r="I25" s="1057">
        <f t="shared" si="8"/>
        <v>1585810</v>
      </c>
      <c r="J25" s="1091">
        <v>131409</v>
      </c>
      <c r="K25" s="1091">
        <v>24904</v>
      </c>
      <c r="L25" s="1091">
        <v>0</v>
      </c>
      <c r="M25" s="1091">
        <v>267873</v>
      </c>
      <c r="N25" s="1091">
        <v>711150</v>
      </c>
      <c r="O25" s="1091">
        <v>450474</v>
      </c>
      <c r="P25" s="1091"/>
      <c r="Q25" s="1091">
        <v>0</v>
      </c>
      <c r="R25" s="1091">
        <v>2583597</v>
      </c>
      <c r="S25" s="1057">
        <f aca="true" t="shared" si="10" ref="S25:S30">C25-F25-G25-J25-K25-L25</f>
        <v>4013094</v>
      </c>
      <c r="T25" s="1059">
        <f t="shared" si="5"/>
        <v>0.09856981605614797</v>
      </c>
    </row>
    <row r="26" spans="1:20" s="443" customFormat="1" ht="24.75" customHeight="1">
      <c r="A26" s="1013" t="s">
        <v>57</v>
      </c>
      <c r="B26" s="1092" t="s">
        <v>680</v>
      </c>
      <c r="C26" s="1057">
        <f t="shared" si="9"/>
        <v>6252832</v>
      </c>
      <c r="D26" s="1091">
        <v>3100237</v>
      </c>
      <c r="E26" s="1091">
        <v>3152595</v>
      </c>
      <c r="F26" s="1091">
        <v>0</v>
      </c>
      <c r="G26" s="1057">
        <v>0</v>
      </c>
      <c r="H26" s="1057">
        <f t="shared" si="3"/>
        <v>6252832</v>
      </c>
      <c r="I26" s="1057">
        <f t="shared" si="8"/>
        <v>1662535</v>
      </c>
      <c r="J26" s="1091">
        <v>142439</v>
      </c>
      <c r="K26" s="1091">
        <v>598400</v>
      </c>
      <c r="L26" s="1091">
        <v>0</v>
      </c>
      <c r="M26" s="1091">
        <v>416144</v>
      </c>
      <c r="N26" s="1091">
        <v>505552</v>
      </c>
      <c r="O26" s="1091"/>
      <c r="P26" s="1091"/>
      <c r="Q26" s="1091"/>
      <c r="R26" s="1091">
        <v>4590297</v>
      </c>
      <c r="S26" s="1057">
        <f t="shared" si="10"/>
        <v>5511993</v>
      </c>
      <c r="T26" s="1059">
        <f t="shared" si="5"/>
        <v>0.4456080623866565</v>
      </c>
    </row>
    <row r="27" spans="1:20" s="443" customFormat="1" ht="24.75" customHeight="1">
      <c r="A27" s="1013" t="s">
        <v>72</v>
      </c>
      <c r="B27" s="1093" t="s">
        <v>800</v>
      </c>
      <c r="C27" s="1057">
        <f t="shared" si="9"/>
        <v>13064199</v>
      </c>
      <c r="D27" s="1091">
        <v>9612928</v>
      </c>
      <c r="E27" s="1091">
        <v>3451271</v>
      </c>
      <c r="F27" s="1091">
        <v>25001</v>
      </c>
      <c r="G27" s="1057">
        <v>0</v>
      </c>
      <c r="H27" s="1057">
        <f t="shared" si="3"/>
        <v>13039198</v>
      </c>
      <c r="I27" s="1057">
        <f t="shared" si="8"/>
        <v>4890569</v>
      </c>
      <c r="J27" s="1091">
        <v>120001</v>
      </c>
      <c r="K27" s="1091">
        <v>1113559</v>
      </c>
      <c r="L27" s="1091">
        <v>0</v>
      </c>
      <c r="M27" s="1091">
        <v>2412038</v>
      </c>
      <c r="N27" s="1091">
        <v>1244665</v>
      </c>
      <c r="O27" s="1091"/>
      <c r="P27" s="1091"/>
      <c r="Q27" s="1091">
        <v>306</v>
      </c>
      <c r="R27" s="1091">
        <v>8148629</v>
      </c>
      <c r="S27" s="1057">
        <f t="shared" si="10"/>
        <v>11805638</v>
      </c>
      <c r="T27" s="1059">
        <f t="shared" si="5"/>
        <v>0.2522324089487338</v>
      </c>
    </row>
    <row r="28" spans="1:20" s="443" customFormat="1" ht="24.75" customHeight="1">
      <c r="A28" s="1013" t="s">
        <v>73</v>
      </c>
      <c r="B28" s="1093" t="s">
        <v>801</v>
      </c>
      <c r="C28" s="1057">
        <f t="shared" si="9"/>
        <v>14825350</v>
      </c>
      <c r="D28" s="1091">
        <v>14031582</v>
      </c>
      <c r="E28" s="1091">
        <v>793768</v>
      </c>
      <c r="F28" s="1091">
        <v>8900</v>
      </c>
      <c r="G28" s="1057">
        <v>0</v>
      </c>
      <c r="H28" s="1057">
        <f t="shared" si="3"/>
        <v>14816450</v>
      </c>
      <c r="I28" s="1057">
        <f t="shared" si="8"/>
        <v>13287404</v>
      </c>
      <c r="J28" s="1091">
        <v>35604</v>
      </c>
      <c r="K28" s="1091">
        <v>0</v>
      </c>
      <c r="L28" s="1091">
        <v>0</v>
      </c>
      <c r="M28" s="1091">
        <v>516475</v>
      </c>
      <c r="N28" s="1091">
        <v>12731825</v>
      </c>
      <c r="O28" s="1091"/>
      <c r="P28" s="1091"/>
      <c r="Q28" s="1091">
        <v>3500</v>
      </c>
      <c r="R28" s="1091">
        <v>1529046</v>
      </c>
      <c r="S28" s="1057">
        <f t="shared" si="10"/>
        <v>14780846</v>
      </c>
      <c r="T28" s="1059">
        <f t="shared" si="5"/>
        <v>0.0026795301776027882</v>
      </c>
    </row>
    <row r="29" spans="1:20" s="443" customFormat="1" ht="24.75" customHeight="1">
      <c r="A29" s="1013" t="s">
        <v>74</v>
      </c>
      <c r="B29" s="1092" t="s">
        <v>803</v>
      </c>
      <c r="C29" s="1057">
        <f t="shared" si="9"/>
        <v>2354746</v>
      </c>
      <c r="D29" s="1091">
        <v>1340147</v>
      </c>
      <c r="E29" s="1091">
        <v>1014599</v>
      </c>
      <c r="F29" s="1091">
        <v>165500</v>
      </c>
      <c r="G29" s="1057">
        <v>0</v>
      </c>
      <c r="H29" s="1057">
        <f t="shared" si="3"/>
        <v>2189246</v>
      </c>
      <c r="I29" s="1057">
        <f t="shared" si="8"/>
        <v>1408835</v>
      </c>
      <c r="J29" s="1091">
        <v>335691</v>
      </c>
      <c r="K29" s="1091">
        <v>82822</v>
      </c>
      <c r="L29" s="1091">
        <v>0</v>
      </c>
      <c r="M29" s="1091">
        <v>690322</v>
      </c>
      <c r="N29" s="1091">
        <v>0</v>
      </c>
      <c r="O29" s="1091">
        <v>300000</v>
      </c>
      <c r="P29" s="1091"/>
      <c r="Q29" s="1091"/>
      <c r="R29" s="1091">
        <v>780411</v>
      </c>
      <c r="S29" s="1057">
        <f t="shared" si="10"/>
        <v>1770733</v>
      </c>
      <c r="T29" s="1059">
        <f t="shared" si="5"/>
        <v>0.2970631763123432</v>
      </c>
    </row>
    <row r="30" spans="1:20" s="443" customFormat="1" ht="24.75" customHeight="1">
      <c r="A30" s="1013" t="s">
        <v>75</v>
      </c>
      <c r="B30" s="1092" t="s">
        <v>683</v>
      </c>
      <c r="C30" s="1057">
        <f t="shared" si="9"/>
        <v>2661548</v>
      </c>
      <c r="D30" s="1091">
        <v>1798288</v>
      </c>
      <c r="E30" s="1091">
        <v>863260</v>
      </c>
      <c r="F30" s="1091">
        <v>119470</v>
      </c>
      <c r="G30" s="1057">
        <v>0</v>
      </c>
      <c r="H30" s="1057">
        <f t="shared" si="3"/>
        <v>2542078</v>
      </c>
      <c r="I30" s="1057">
        <f t="shared" si="8"/>
        <v>1957377</v>
      </c>
      <c r="J30" s="1091">
        <v>74685</v>
      </c>
      <c r="K30" s="1091">
        <v>0</v>
      </c>
      <c r="L30" s="1091">
        <v>0</v>
      </c>
      <c r="M30" s="1103">
        <v>614092</v>
      </c>
      <c r="N30" s="1091">
        <v>0</v>
      </c>
      <c r="O30" s="1091">
        <v>1268600</v>
      </c>
      <c r="P30" s="1091"/>
      <c r="Q30" s="1091"/>
      <c r="R30" s="1091">
        <v>584701</v>
      </c>
      <c r="S30" s="1057">
        <f t="shared" si="10"/>
        <v>2467393</v>
      </c>
      <c r="T30" s="1059">
        <f t="shared" si="5"/>
        <v>0.03815565422501644</v>
      </c>
    </row>
    <row r="31" spans="1:20" s="443" customFormat="1" ht="24.75" customHeight="1">
      <c r="A31" s="1012" t="s">
        <v>0</v>
      </c>
      <c r="B31" s="1032" t="s">
        <v>684</v>
      </c>
      <c r="C31" s="1033">
        <f>D31+E31</f>
        <v>8436895</v>
      </c>
      <c r="D31" s="1033">
        <f>SUM(D32:D37)</f>
        <v>5960982</v>
      </c>
      <c r="E31" s="1033">
        <f>SUM(E32:E37)</f>
        <v>2475913</v>
      </c>
      <c r="F31" s="1033">
        <f>SUM(F32:F37)</f>
        <v>176590</v>
      </c>
      <c r="G31" s="1033">
        <f>SUM(G32:G37)</f>
        <v>0</v>
      </c>
      <c r="H31" s="1033">
        <f>I31+R31</f>
        <v>8260305</v>
      </c>
      <c r="I31" s="1033">
        <f>SUM(J31:Q31)</f>
        <v>5457154</v>
      </c>
      <c r="J31" s="1033">
        <f aca="true" t="shared" si="11" ref="J31:S31">SUM(J32:J37)</f>
        <v>1250547</v>
      </c>
      <c r="K31" s="1033">
        <f t="shared" si="11"/>
        <v>170385</v>
      </c>
      <c r="L31" s="1033">
        <f t="shared" si="11"/>
        <v>0</v>
      </c>
      <c r="M31" s="1033">
        <f t="shared" si="11"/>
        <v>2970697</v>
      </c>
      <c r="N31" s="1033">
        <f t="shared" si="11"/>
        <v>945375</v>
      </c>
      <c r="O31" s="1033">
        <f t="shared" si="11"/>
        <v>0</v>
      </c>
      <c r="P31" s="1033">
        <f t="shared" si="11"/>
        <v>0</v>
      </c>
      <c r="Q31" s="1033">
        <f t="shared" si="11"/>
        <v>120150</v>
      </c>
      <c r="R31" s="1033">
        <f t="shared" si="11"/>
        <v>2803151</v>
      </c>
      <c r="S31" s="1033">
        <f t="shared" si="11"/>
        <v>6839373</v>
      </c>
      <c r="T31" s="1048">
        <f t="shared" si="5"/>
        <v>0.2603796777587732</v>
      </c>
    </row>
    <row r="32" spans="1:20" s="443" customFormat="1" ht="24.75" customHeight="1">
      <c r="A32" s="1013" t="s">
        <v>51</v>
      </c>
      <c r="B32" s="1105" t="s">
        <v>685</v>
      </c>
      <c r="C32" s="1057">
        <f aca="true" t="shared" si="12" ref="C32:C37">D32+E32</f>
        <v>950418</v>
      </c>
      <c r="D32" s="1074">
        <v>426355</v>
      </c>
      <c r="E32" s="1074">
        <v>524063</v>
      </c>
      <c r="F32" s="1074">
        <v>63000</v>
      </c>
      <c r="G32" s="1050">
        <v>0</v>
      </c>
      <c r="H32" s="1081">
        <f aca="true" t="shared" si="13" ref="H32:H37">I32+R32</f>
        <v>887418</v>
      </c>
      <c r="I32" s="1081">
        <f aca="true" t="shared" si="14" ref="I32:I37">SUM(J32:Q32)</f>
        <v>783706</v>
      </c>
      <c r="J32" s="1074">
        <v>643530</v>
      </c>
      <c r="K32" s="1074">
        <v>10000</v>
      </c>
      <c r="L32" s="1074">
        <v>0</v>
      </c>
      <c r="M32" s="1074">
        <v>130026</v>
      </c>
      <c r="N32" s="1074">
        <v>0</v>
      </c>
      <c r="O32" s="1078">
        <v>0</v>
      </c>
      <c r="P32" s="1078">
        <v>0</v>
      </c>
      <c r="Q32" s="1078">
        <v>150</v>
      </c>
      <c r="R32" s="1107">
        <v>103712</v>
      </c>
      <c r="S32" s="1082">
        <f aca="true" t="shared" si="15" ref="S32:S37">C32-F32-G32-J32-K32-L32</f>
        <v>233888</v>
      </c>
      <c r="T32" s="1059">
        <f t="shared" si="5"/>
        <v>0.8338968950090978</v>
      </c>
    </row>
    <row r="33" spans="1:20" s="443" customFormat="1" ht="24.75" customHeight="1">
      <c r="A33" s="1013" t="s">
        <v>52</v>
      </c>
      <c r="B33" s="1105" t="s">
        <v>686</v>
      </c>
      <c r="C33" s="1057">
        <f t="shared" si="12"/>
        <v>2880059</v>
      </c>
      <c r="D33" s="1074">
        <v>2472318</v>
      </c>
      <c r="E33" s="1074">
        <v>407741</v>
      </c>
      <c r="F33" s="1074">
        <v>0</v>
      </c>
      <c r="G33" s="1050">
        <v>0</v>
      </c>
      <c r="H33" s="1081">
        <f t="shared" si="13"/>
        <v>2880059</v>
      </c>
      <c r="I33" s="1081">
        <f t="shared" si="14"/>
        <v>1000582</v>
      </c>
      <c r="J33" s="1074">
        <v>52086</v>
      </c>
      <c r="K33" s="1074">
        <v>0</v>
      </c>
      <c r="L33" s="1074">
        <v>0</v>
      </c>
      <c r="M33" s="1074">
        <v>948496</v>
      </c>
      <c r="N33" s="1074">
        <v>0</v>
      </c>
      <c r="O33" s="1078">
        <v>0</v>
      </c>
      <c r="P33" s="1078">
        <v>0</v>
      </c>
      <c r="Q33" s="1078">
        <v>0</v>
      </c>
      <c r="R33" s="1107">
        <v>1879477</v>
      </c>
      <c r="S33" s="1082">
        <f t="shared" si="15"/>
        <v>2827973</v>
      </c>
      <c r="T33" s="1059">
        <f t="shared" si="5"/>
        <v>0.05205570358051614</v>
      </c>
    </row>
    <row r="34" spans="1:20" s="443" customFormat="1" ht="24.75" customHeight="1">
      <c r="A34" s="1013" t="s">
        <v>57</v>
      </c>
      <c r="B34" s="1105" t="s">
        <v>682</v>
      </c>
      <c r="C34" s="1057">
        <f t="shared" si="12"/>
        <v>607638</v>
      </c>
      <c r="D34" s="1074">
        <v>198514</v>
      </c>
      <c r="E34" s="1074">
        <v>409124</v>
      </c>
      <c r="F34" s="1074">
        <v>92890</v>
      </c>
      <c r="G34" s="1050">
        <v>0</v>
      </c>
      <c r="H34" s="1081">
        <f t="shared" si="13"/>
        <v>514748</v>
      </c>
      <c r="I34" s="1081">
        <f t="shared" si="14"/>
        <v>222436</v>
      </c>
      <c r="J34" s="1074">
        <v>154983</v>
      </c>
      <c r="K34" s="1074">
        <v>8886</v>
      </c>
      <c r="L34" s="1074">
        <v>0</v>
      </c>
      <c r="M34" s="1074">
        <v>58567</v>
      </c>
      <c r="N34" s="1074">
        <v>0</v>
      </c>
      <c r="O34" s="1078">
        <v>0</v>
      </c>
      <c r="P34" s="1078">
        <v>0</v>
      </c>
      <c r="Q34" s="1078">
        <v>0</v>
      </c>
      <c r="R34" s="1107">
        <v>292312</v>
      </c>
      <c r="S34" s="1082">
        <f t="shared" si="15"/>
        <v>350879</v>
      </c>
      <c r="T34" s="1059">
        <f t="shared" si="5"/>
        <v>0.7367017928752541</v>
      </c>
    </row>
    <row r="35" spans="1:20" s="443" customFormat="1" ht="24.75" customHeight="1">
      <c r="A35" s="1013" t="s">
        <v>72</v>
      </c>
      <c r="B35" s="1105" t="s">
        <v>687</v>
      </c>
      <c r="C35" s="1057">
        <f t="shared" si="12"/>
        <v>1203650</v>
      </c>
      <c r="D35" s="1074">
        <v>539907</v>
      </c>
      <c r="E35" s="1074">
        <v>663743</v>
      </c>
      <c r="F35" s="1074">
        <v>20300</v>
      </c>
      <c r="G35" s="1050">
        <v>0</v>
      </c>
      <c r="H35" s="1081">
        <f t="shared" si="13"/>
        <v>1183350</v>
      </c>
      <c r="I35" s="1081">
        <f t="shared" si="14"/>
        <v>1080546</v>
      </c>
      <c r="J35" s="1074">
        <v>224294</v>
      </c>
      <c r="K35" s="1074">
        <v>19231</v>
      </c>
      <c r="L35" s="1074">
        <v>0</v>
      </c>
      <c r="M35" s="1074">
        <v>837021</v>
      </c>
      <c r="N35" s="1074">
        <v>0</v>
      </c>
      <c r="O35" s="1078">
        <v>0</v>
      </c>
      <c r="P35" s="1078">
        <v>0</v>
      </c>
      <c r="Q35" s="1078">
        <v>0</v>
      </c>
      <c r="R35" s="1107">
        <v>102804</v>
      </c>
      <c r="S35" s="1082">
        <f t="shared" si="15"/>
        <v>939825</v>
      </c>
      <c r="T35" s="1059">
        <f t="shared" si="5"/>
        <v>0.22537217295700507</v>
      </c>
    </row>
    <row r="36" spans="1:20" s="443" customFormat="1" ht="24.75" customHeight="1">
      <c r="A36" s="1013" t="s">
        <v>73</v>
      </c>
      <c r="B36" s="1105" t="s">
        <v>712</v>
      </c>
      <c r="C36" s="1057">
        <f t="shared" si="12"/>
        <v>743161</v>
      </c>
      <c r="D36" s="1074">
        <v>441137</v>
      </c>
      <c r="E36" s="1074">
        <v>302024</v>
      </c>
      <c r="F36" s="1074">
        <v>0</v>
      </c>
      <c r="G36" s="1050">
        <v>0</v>
      </c>
      <c r="H36" s="1081">
        <f t="shared" si="13"/>
        <v>743161</v>
      </c>
      <c r="I36" s="1081">
        <f t="shared" si="14"/>
        <v>544359</v>
      </c>
      <c r="J36" s="1074">
        <v>62749</v>
      </c>
      <c r="K36" s="1074">
        <v>132268</v>
      </c>
      <c r="L36" s="1074">
        <v>0</v>
      </c>
      <c r="M36" s="1074">
        <v>349342</v>
      </c>
      <c r="N36" s="1074">
        <v>0</v>
      </c>
      <c r="O36" s="1078">
        <v>0</v>
      </c>
      <c r="P36" s="1078">
        <v>0</v>
      </c>
      <c r="Q36" s="1078">
        <v>0</v>
      </c>
      <c r="R36" s="1107">
        <v>198802</v>
      </c>
      <c r="S36" s="1082">
        <f t="shared" si="15"/>
        <v>548144</v>
      </c>
      <c r="T36" s="1059">
        <f t="shared" si="5"/>
        <v>0.35825071322417745</v>
      </c>
    </row>
    <row r="37" spans="1:20" s="443" customFormat="1" ht="24.75" customHeight="1">
      <c r="A37" s="1013" t="s">
        <v>74</v>
      </c>
      <c r="B37" s="1106" t="s">
        <v>688</v>
      </c>
      <c r="C37" s="1057">
        <f t="shared" si="12"/>
        <v>2051969</v>
      </c>
      <c r="D37" s="1104">
        <v>1882751</v>
      </c>
      <c r="E37" s="1104">
        <v>169218</v>
      </c>
      <c r="F37" s="1104">
        <v>400</v>
      </c>
      <c r="G37" s="1050">
        <v>0</v>
      </c>
      <c r="H37" s="1081">
        <f t="shared" si="13"/>
        <v>2051569</v>
      </c>
      <c r="I37" s="1081">
        <f t="shared" si="14"/>
        <v>1825525</v>
      </c>
      <c r="J37" s="1104">
        <v>112905</v>
      </c>
      <c r="K37" s="1104">
        <v>0</v>
      </c>
      <c r="L37" s="1104">
        <v>0</v>
      </c>
      <c r="M37" s="1104">
        <v>647245</v>
      </c>
      <c r="N37" s="1104">
        <v>945375</v>
      </c>
      <c r="O37" s="1108">
        <v>0</v>
      </c>
      <c r="P37" s="1108">
        <v>0</v>
      </c>
      <c r="Q37" s="1108">
        <v>120000</v>
      </c>
      <c r="R37" s="1109">
        <v>226044</v>
      </c>
      <c r="S37" s="1082">
        <f t="shared" si="15"/>
        <v>1938664</v>
      </c>
      <c r="T37" s="1059">
        <f t="shared" si="5"/>
        <v>0.06184796154530888</v>
      </c>
    </row>
    <row r="38" spans="1:20" s="443" customFormat="1" ht="24.75" customHeight="1">
      <c r="A38" s="1012" t="s">
        <v>0</v>
      </c>
      <c r="B38" s="1032" t="s">
        <v>709</v>
      </c>
      <c r="C38" s="1047">
        <f>D38+E38</f>
        <v>19431102</v>
      </c>
      <c r="D38" s="1047">
        <f>SUM(D39:D45)</f>
        <v>17959069</v>
      </c>
      <c r="E38" s="1047">
        <f>SUM(E39:E45)</f>
        <v>1472033</v>
      </c>
      <c r="F38" s="1047">
        <f>SUM(F39:F45)</f>
        <v>263337</v>
      </c>
      <c r="G38" s="1047">
        <f>SUM(G39:G45)</f>
        <v>0</v>
      </c>
      <c r="H38" s="1047">
        <f>I38+R38</f>
        <v>19167765</v>
      </c>
      <c r="I38" s="1047">
        <f>SUM(J38:Q38)</f>
        <v>13885445</v>
      </c>
      <c r="J38" s="1047">
        <f aca="true" t="shared" si="16" ref="J38:S38">SUM(J39:J45)</f>
        <v>515002</v>
      </c>
      <c r="K38" s="1047">
        <f t="shared" si="16"/>
        <v>167046</v>
      </c>
      <c r="L38" s="1047">
        <f t="shared" si="16"/>
        <v>11286</v>
      </c>
      <c r="M38" s="1047">
        <f t="shared" si="16"/>
        <v>10169368</v>
      </c>
      <c r="N38" s="1047">
        <f t="shared" si="16"/>
        <v>2957318</v>
      </c>
      <c r="O38" s="1047">
        <f t="shared" si="16"/>
        <v>0</v>
      </c>
      <c r="P38" s="1047">
        <f t="shared" si="16"/>
        <v>0</v>
      </c>
      <c r="Q38" s="1047">
        <f t="shared" si="16"/>
        <v>65425</v>
      </c>
      <c r="R38" s="1047">
        <f t="shared" si="16"/>
        <v>5282320</v>
      </c>
      <c r="S38" s="1047">
        <f t="shared" si="16"/>
        <v>18474431</v>
      </c>
      <c r="T38" s="1048">
        <f t="shared" si="5"/>
        <v>0.049932429245155625</v>
      </c>
    </row>
    <row r="39" spans="1:20" s="443" customFormat="1" ht="24.75" customHeight="1">
      <c r="A39" s="1013" t="s">
        <v>51</v>
      </c>
      <c r="B39" s="1110" t="s">
        <v>713</v>
      </c>
      <c r="C39" s="1057">
        <f aca="true" t="shared" si="17" ref="C39:C59">D39+E39</f>
        <v>316384</v>
      </c>
      <c r="D39" s="898">
        <v>129276</v>
      </c>
      <c r="E39" s="898">
        <v>187108</v>
      </c>
      <c r="F39" s="898">
        <v>0</v>
      </c>
      <c r="G39" s="1058">
        <v>0</v>
      </c>
      <c r="H39" s="1057">
        <f aca="true" t="shared" si="18" ref="H39:H59">I39+R39</f>
        <v>316384</v>
      </c>
      <c r="I39" s="1057">
        <f aca="true" t="shared" si="19" ref="I39:I59">SUM(J39:Q39)</f>
        <v>165944</v>
      </c>
      <c r="J39" s="898">
        <v>23494</v>
      </c>
      <c r="K39" s="898">
        <v>0</v>
      </c>
      <c r="L39" s="898">
        <v>0</v>
      </c>
      <c r="M39" s="898">
        <v>142450</v>
      </c>
      <c r="N39" s="898">
        <v>0</v>
      </c>
      <c r="O39" s="898">
        <v>0</v>
      </c>
      <c r="P39" s="898">
        <v>0</v>
      </c>
      <c r="Q39" s="898">
        <v>0</v>
      </c>
      <c r="R39" s="898">
        <v>150440</v>
      </c>
      <c r="S39" s="1057">
        <f aca="true" t="shared" si="20" ref="S39:S45">C39-F39-G39-J39-K39-L39</f>
        <v>292890</v>
      </c>
      <c r="T39" s="1059">
        <f t="shared" si="5"/>
        <v>0.14157788169502966</v>
      </c>
    </row>
    <row r="40" spans="1:20" s="443" customFormat="1" ht="24.75" customHeight="1">
      <c r="A40" s="1013" t="s">
        <v>52</v>
      </c>
      <c r="B40" s="1110" t="s">
        <v>690</v>
      </c>
      <c r="C40" s="1057">
        <f t="shared" si="17"/>
        <v>1217098</v>
      </c>
      <c r="D40" s="898">
        <v>1112661</v>
      </c>
      <c r="E40" s="898">
        <v>104437</v>
      </c>
      <c r="F40" s="898">
        <v>0</v>
      </c>
      <c r="G40" s="1058">
        <v>0</v>
      </c>
      <c r="H40" s="1057">
        <f t="shared" si="18"/>
        <v>1217098</v>
      </c>
      <c r="I40" s="1057">
        <f t="shared" si="19"/>
        <v>361342</v>
      </c>
      <c r="J40" s="898">
        <v>84425</v>
      </c>
      <c r="K40" s="898">
        <v>43700</v>
      </c>
      <c r="L40" s="898">
        <v>0</v>
      </c>
      <c r="M40" s="898">
        <v>229222</v>
      </c>
      <c r="N40" s="898">
        <v>0</v>
      </c>
      <c r="O40" s="898">
        <v>0</v>
      </c>
      <c r="P40" s="898">
        <v>0</v>
      </c>
      <c r="Q40" s="898">
        <v>3995</v>
      </c>
      <c r="R40" s="898">
        <v>855756</v>
      </c>
      <c r="S40" s="1057">
        <f t="shared" si="20"/>
        <v>1088973</v>
      </c>
      <c r="T40" s="1059">
        <f t="shared" si="5"/>
        <v>0.3545809786850131</v>
      </c>
    </row>
    <row r="41" spans="1:20" s="443" customFormat="1" ht="24.75" customHeight="1">
      <c r="A41" s="1013" t="s">
        <v>57</v>
      </c>
      <c r="B41" s="1110" t="s">
        <v>691</v>
      </c>
      <c r="C41" s="1057">
        <f t="shared" si="17"/>
        <v>1350099</v>
      </c>
      <c r="D41" s="898">
        <v>971847</v>
      </c>
      <c r="E41" s="898">
        <v>378252</v>
      </c>
      <c r="F41" s="898">
        <v>263337</v>
      </c>
      <c r="G41" s="1058">
        <v>0</v>
      </c>
      <c r="H41" s="1057">
        <f t="shared" si="18"/>
        <v>1086762</v>
      </c>
      <c r="I41" s="1057">
        <f t="shared" si="19"/>
        <v>355830</v>
      </c>
      <c r="J41" s="898">
        <v>126705</v>
      </c>
      <c r="K41" s="898">
        <v>19221</v>
      </c>
      <c r="L41" s="898">
        <v>7625</v>
      </c>
      <c r="M41" s="898">
        <v>200599</v>
      </c>
      <c r="N41" s="898">
        <v>0</v>
      </c>
      <c r="O41" s="898">
        <v>0</v>
      </c>
      <c r="P41" s="898">
        <v>0</v>
      </c>
      <c r="Q41" s="898">
        <v>1680</v>
      </c>
      <c r="R41" s="898">
        <v>730932</v>
      </c>
      <c r="S41" s="1057">
        <f t="shared" si="20"/>
        <v>933211</v>
      </c>
      <c r="T41" s="1059">
        <f t="shared" si="5"/>
        <v>0.43152910097518477</v>
      </c>
    </row>
    <row r="42" spans="1:20" s="443" customFormat="1" ht="24.75" customHeight="1">
      <c r="A42" s="1013" t="s">
        <v>72</v>
      </c>
      <c r="B42" s="1110" t="s">
        <v>692</v>
      </c>
      <c r="C42" s="1057">
        <f t="shared" si="17"/>
        <v>2441163</v>
      </c>
      <c r="D42" s="898">
        <v>2203071</v>
      </c>
      <c r="E42" s="898">
        <v>238092</v>
      </c>
      <c r="F42" s="898">
        <v>0</v>
      </c>
      <c r="G42" s="1058">
        <v>0</v>
      </c>
      <c r="H42" s="1057">
        <f t="shared" si="18"/>
        <v>2441163</v>
      </c>
      <c r="I42" s="1057">
        <f t="shared" si="19"/>
        <v>1565140</v>
      </c>
      <c r="J42" s="898">
        <v>56846</v>
      </c>
      <c r="K42" s="898">
        <v>30699</v>
      </c>
      <c r="L42" s="898">
        <v>3661</v>
      </c>
      <c r="M42" s="898">
        <v>1473934</v>
      </c>
      <c r="N42" s="898">
        <v>0</v>
      </c>
      <c r="O42" s="898">
        <v>0</v>
      </c>
      <c r="P42" s="898">
        <v>0</v>
      </c>
      <c r="Q42" s="898">
        <v>0</v>
      </c>
      <c r="R42" s="898">
        <v>876023</v>
      </c>
      <c r="S42" s="1057">
        <f t="shared" si="20"/>
        <v>2349957</v>
      </c>
      <c r="T42" s="1059">
        <f t="shared" si="5"/>
        <v>0.05827338129496403</v>
      </c>
    </row>
    <row r="43" spans="1:20" s="443" customFormat="1" ht="24.75" customHeight="1">
      <c r="A43" s="1013" t="s">
        <v>73</v>
      </c>
      <c r="B43" s="1110" t="s">
        <v>693</v>
      </c>
      <c r="C43" s="1057">
        <f t="shared" si="17"/>
        <v>10264318</v>
      </c>
      <c r="D43" s="898">
        <v>9906791</v>
      </c>
      <c r="E43" s="898">
        <v>357527</v>
      </c>
      <c r="F43" s="898">
        <v>0</v>
      </c>
      <c r="G43" s="1058">
        <v>0</v>
      </c>
      <c r="H43" s="1057">
        <f t="shared" si="18"/>
        <v>10264318</v>
      </c>
      <c r="I43" s="1057">
        <f t="shared" si="19"/>
        <v>8653832</v>
      </c>
      <c r="J43" s="898">
        <v>162629</v>
      </c>
      <c r="K43" s="898">
        <v>66201</v>
      </c>
      <c r="L43" s="898">
        <v>0</v>
      </c>
      <c r="M43" s="898">
        <v>7581852</v>
      </c>
      <c r="N43" s="898">
        <v>784000</v>
      </c>
      <c r="O43" s="898">
        <v>0</v>
      </c>
      <c r="P43" s="898">
        <v>0</v>
      </c>
      <c r="Q43" s="898">
        <v>59150</v>
      </c>
      <c r="R43" s="898">
        <v>1610486</v>
      </c>
      <c r="S43" s="1057">
        <f t="shared" si="20"/>
        <v>10035488</v>
      </c>
      <c r="T43" s="1059">
        <f t="shared" si="5"/>
        <v>0.0264426210261535</v>
      </c>
    </row>
    <row r="44" spans="1:20" s="443" customFormat="1" ht="24.75" customHeight="1">
      <c r="A44" s="1013">
        <v>7</v>
      </c>
      <c r="B44" s="1110" t="s">
        <v>701</v>
      </c>
      <c r="C44" s="1057">
        <f t="shared" si="17"/>
        <v>3218953</v>
      </c>
      <c r="D44" s="898">
        <v>3017836</v>
      </c>
      <c r="E44" s="898">
        <v>201117</v>
      </c>
      <c r="F44" s="898">
        <v>0</v>
      </c>
      <c r="G44" s="1058"/>
      <c r="H44" s="1057">
        <f t="shared" si="18"/>
        <v>3218953</v>
      </c>
      <c r="I44" s="1057">
        <f t="shared" si="19"/>
        <v>2525988</v>
      </c>
      <c r="J44" s="898">
        <v>51772</v>
      </c>
      <c r="K44" s="898">
        <v>2415</v>
      </c>
      <c r="L44" s="898">
        <v>0</v>
      </c>
      <c r="M44" s="898">
        <v>298483</v>
      </c>
      <c r="N44" s="898">
        <v>2173318</v>
      </c>
      <c r="O44" s="898">
        <v>0</v>
      </c>
      <c r="P44" s="898">
        <v>0</v>
      </c>
      <c r="Q44" s="898">
        <v>0</v>
      </c>
      <c r="R44" s="898">
        <v>692965</v>
      </c>
      <c r="S44" s="1057">
        <f t="shared" si="20"/>
        <v>3164766</v>
      </c>
      <c r="T44" s="1059">
        <f t="shared" si="5"/>
        <v>0.021451804204928922</v>
      </c>
    </row>
    <row r="45" spans="1:20" s="443" customFormat="1" ht="24.75" customHeight="1">
      <c r="A45" s="1013">
        <v>7</v>
      </c>
      <c r="B45" s="1110" t="s">
        <v>804</v>
      </c>
      <c r="C45" s="1057">
        <f t="shared" si="17"/>
        <v>623087</v>
      </c>
      <c r="D45" s="898">
        <v>617587</v>
      </c>
      <c r="E45" s="898">
        <v>5500</v>
      </c>
      <c r="F45" s="898">
        <v>0</v>
      </c>
      <c r="G45" s="1058">
        <v>0</v>
      </c>
      <c r="H45" s="1057">
        <f t="shared" si="18"/>
        <v>623087</v>
      </c>
      <c r="I45" s="1057">
        <f t="shared" si="19"/>
        <v>257369</v>
      </c>
      <c r="J45" s="898">
        <v>9131</v>
      </c>
      <c r="K45" s="898">
        <v>4810</v>
      </c>
      <c r="L45" s="898">
        <v>0</v>
      </c>
      <c r="M45" s="898">
        <v>242828</v>
      </c>
      <c r="N45" s="898">
        <v>0</v>
      </c>
      <c r="O45" s="898">
        <v>0</v>
      </c>
      <c r="P45" s="898">
        <v>0</v>
      </c>
      <c r="Q45" s="898">
        <v>600</v>
      </c>
      <c r="R45" s="898">
        <v>365718</v>
      </c>
      <c r="S45" s="1057">
        <f t="shared" si="20"/>
        <v>609146</v>
      </c>
      <c r="T45" s="1059">
        <f t="shared" si="5"/>
        <v>0.05416736281370328</v>
      </c>
    </row>
    <row r="46" spans="1:20" s="443" customFormat="1" ht="24.75" customHeight="1">
      <c r="A46" s="1012" t="s">
        <v>0</v>
      </c>
      <c r="B46" s="1032" t="s">
        <v>695</v>
      </c>
      <c r="C46" s="1047">
        <f>SUM(C47:C49)</f>
        <v>13027031</v>
      </c>
      <c r="D46" s="1047">
        <f>SUM(D47:D49)</f>
        <v>10312437</v>
      </c>
      <c r="E46" s="1047">
        <f>SUM(E47:E49)</f>
        <v>2714594</v>
      </c>
      <c r="F46" s="1047">
        <f>SUM(F47:F49)</f>
        <v>7000</v>
      </c>
      <c r="G46" s="1047">
        <f>SUM(G47:G49)</f>
        <v>0</v>
      </c>
      <c r="H46" s="1047">
        <f t="shared" si="18"/>
        <v>13020031</v>
      </c>
      <c r="I46" s="1047">
        <f t="shared" si="19"/>
        <v>11983206</v>
      </c>
      <c r="J46" s="1047">
        <f>SUM(J47:J49)</f>
        <v>1518349</v>
      </c>
      <c r="K46" s="1047">
        <f>SUM(K47:K49)</f>
        <v>34423</v>
      </c>
      <c r="L46" s="1047">
        <f>SUM(L47:L49)</f>
        <v>0</v>
      </c>
      <c r="M46" s="1047">
        <f aca="true" t="shared" si="21" ref="M46:S46">SUM(M47:M49)</f>
        <v>10430434</v>
      </c>
      <c r="N46" s="1047">
        <f t="shared" si="21"/>
        <v>0</v>
      </c>
      <c r="O46" s="1047">
        <f t="shared" si="21"/>
        <v>0</v>
      </c>
      <c r="P46" s="1047">
        <f t="shared" si="21"/>
        <v>0</v>
      </c>
      <c r="Q46" s="1047">
        <f t="shared" si="21"/>
        <v>0</v>
      </c>
      <c r="R46" s="1047">
        <f t="shared" si="21"/>
        <v>1036825</v>
      </c>
      <c r="S46" s="1061">
        <f t="shared" si="21"/>
        <v>11467259</v>
      </c>
      <c r="T46" s="1048">
        <f>(K46+J46+L46)/I46</f>
        <v>0.12957901249465292</v>
      </c>
    </row>
    <row r="47" spans="1:20" s="443" customFormat="1" ht="24.75" customHeight="1">
      <c r="A47" s="1014" t="s">
        <v>51</v>
      </c>
      <c r="B47" s="1056" t="s">
        <v>704</v>
      </c>
      <c r="C47" s="1113">
        <f t="shared" si="17"/>
        <v>452999</v>
      </c>
      <c r="D47" s="1073">
        <v>108934</v>
      </c>
      <c r="E47" s="1073">
        <v>344065</v>
      </c>
      <c r="F47" s="1073">
        <v>7000</v>
      </c>
      <c r="G47" s="1114"/>
      <c r="H47" s="1115">
        <f t="shared" si="18"/>
        <v>445999</v>
      </c>
      <c r="I47" s="1115">
        <f t="shared" si="19"/>
        <v>349769</v>
      </c>
      <c r="J47" s="1073">
        <v>269338</v>
      </c>
      <c r="K47" s="1073">
        <v>327</v>
      </c>
      <c r="L47" s="1073"/>
      <c r="M47" s="1073">
        <v>80104</v>
      </c>
      <c r="N47" s="1073"/>
      <c r="O47" s="1073"/>
      <c r="P47" s="1073"/>
      <c r="Q47" s="1111"/>
      <c r="R47" s="1112">
        <v>96230</v>
      </c>
      <c r="S47" s="1115">
        <f>C47-F47-G47-J47-K47-L47</f>
        <v>176334</v>
      </c>
      <c r="T47" s="1052">
        <f t="shared" si="5"/>
        <v>0.7709802755532937</v>
      </c>
    </row>
    <row r="48" spans="1:20" s="443" customFormat="1" ht="24.75" customHeight="1">
      <c r="A48" s="1014" t="s">
        <v>52</v>
      </c>
      <c r="B48" s="1056" t="s">
        <v>697</v>
      </c>
      <c r="C48" s="1113">
        <f t="shared" si="17"/>
        <v>1467024</v>
      </c>
      <c r="D48" s="1073">
        <v>722053</v>
      </c>
      <c r="E48" s="1073">
        <v>744971</v>
      </c>
      <c r="F48" s="1073"/>
      <c r="G48" s="1114"/>
      <c r="H48" s="1115">
        <f t="shared" si="18"/>
        <v>1467024</v>
      </c>
      <c r="I48" s="1115">
        <f t="shared" si="19"/>
        <v>940268</v>
      </c>
      <c r="J48" s="1073">
        <v>648884</v>
      </c>
      <c r="K48" s="1073">
        <v>34000</v>
      </c>
      <c r="L48" s="1073"/>
      <c r="M48" s="1073">
        <v>257384</v>
      </c>
      <c r="N48" s="1073"/>
      <c r="O48" s="1073"/>
      <c r="P48" s="1073"/>
      <c r="Q48" s="1111"/>
      <c r="R48" s="1112">
        <v>526756</v>
      </c>
      <c r="S48" s="1115">
        <f>C48-F48-G48-J48-K48-L48</f>
        <v>784140</v>
      </c>
      <c r="T48" s="1052">
        <f t="shared" si="5"/>
        <v>0.726265277559164</v>
      </c>
    </row>
    <row r="49" spans="1:20" s="443" customFormat="1" ht="24.75" customHeight="1">
      <c r="A49" s="1014">
        <v>3</v>
      </c>
      <c r="B49" s="1056" t="s">
        <v>702</v>
      </c>
      <c r="C49" s="1113">
        <f t="shared" si="17"/>
        <v>11107008</v>
      </c>
      <c r="D49" s="1073">
        <v>9481450</v>
      </c>
      <c r="E49" s="1073">
        <v>1625558</v>
      </c>
      <c r="F49" s="1073">
        <v>0</v>
      </c>
      <c r="G49" s="1114"/>
      <c r="H49" s="1115">
        <f t="shared" si="18"/>
        <v>11107008</v>
      </c>
      <c r="I49" s="1115">
        <f t="shared" si="19"/>
        <v>10693169</v>
      </c>
      <c r="J49" s="1073">
        <v>600127</v>
      </c>
      <c r="K49" s="1073">
        <v>96</v>
      </c>
      <c r="L49" s="1073"/>
      <c r="M49" s="1073">
        <v>10092946</v>
      </c>
      <c r="N49" s="1073"/>
      <c r="O49" s="1073"/>
      <c r="P49" s="1073"/>
      <c r="Q49" s="1111"/>
      <c r="R49" s="1112">
        <v>413839</v>
      </c>
      <c r="S49" s="1115">
        <f>C49-F49-G49-J49-K49-L49</f>
        <v>10506785</v>
      </c>
      <c r="T49" s="1052">
        <f t="shared" si="5"/>
        <v>0.0561314424189873</v>
      </c>
    </row>
    <row r="50" spans="1:20" s="443" customFormat="1" ht="24.75" customHeight="1">
      <c r="A50" s="1012" t="s">
        <v>0</v>
      </c>
      <c r="B50" s="1032" t="s">
        <v>698</v>
      </c>
      <c r="C50" s="1047">
        <f t="shared" si="17"/>
        <v>5942147</v>
      </c>
      <c r="D50" s="1047">
        <f>SUM(D51:D53)</f>
        <v>3502730</v>
      </c>
      <c r="E50" s="1047">
        <f>SUM(E51:E53)</f>
        <v>2439417</v>
      </c>
      <c r="F50" s="1047">
        <f>SUM(F51:F53)</f>
        <v>94475</v>
      </c>
      <c r="G50" s="1047">
        <f>SUM(G51:G53)</f>
        <v>0</v>
      </c>
      <c r="H50" s="1047">
        <f t="shared" si="18"/>
        <v>5847672</v>
      </c>
      <c r="I50" s="1047">
        <f t="shared" si="19"/>
        <v>3145306</v>
      </c>
      <c r="J50" s="1047">
        <f aca="true" t="shared" si="22" ref="J50:S50">SUM(J51:J53)</f>
        <v>1262142</v>
      </c>
      <c r="K50" s="1047">
        <f t="shared" si="22"/>
        <v>37973</v>
      </c>
      <c r="L50" s="1047">
        <f t="shared" si="22"/>
        <v>14002</v>
      </c>
      <c r="M50" s="1047">
        <f t="shared" si="22"/>
        <v>1831189</v>
      </c>
      <c r="N50" s="1047">
        <f t="shared" si="22"/>
        <v>0</v>
      </c>
      <c r="O50" s="1047">
        <f t="shared" si="22"/>
        <v>0</v>
      </c>
      <c r="P50" s="1047">
        <f t="shared" si="22"/>
        <v>0</v>
      </c>
      <c r="Q50" s="1047">
        <f t="shared" si="22"/>
        <v>0</v>
      </c>
      <c r="R50" s="1047">
        <f t="shared" si="22"/>
        <v>2702366</v>
      </c>
      <c r="S50" s="1047">
        <f t="shared" si="22"/>
        <v>4533555</v>
      </c>
      <c r="T50" s="1048">
        <f t="shared" si="5"/>
        <v>0.4178025921802203</v>
      </c>
    </row>
    <row r="51" spans="1:20" s="443" customFormat="1" ht="24.75" customHeight="1">
      <c r="A51" s="1013" t="s">
        <v>51</v>
      </c>
      <c r="B51" s="1083" t="s">
        <v>699</v>
      </c>
      <c r="C51" s="1050">
        <f>D51+E51</f>
        <v>561274</v>
      </c>
      <c r="D51" s="1116">
        <v>323162</v>
      </c>
      <c r="E51" s="1116">
        <v>238112</v>
      </c>
      <c r="F51" s="1116">
        <v>37800</v>
      </c>
      <c r="G51" s="1062"/>
      <c r="H51" s="1050">
        <f t="shared" si="18"/>
        <v>523474</v>
      </c>
      <c r="I51" s="1050">
        <f t="shared" si="19"/>
        <v>219825</v>
      </c>
      <c r="J51" s="1116">
        <v>87978</v>
      </c>
      <c r="K51" s="1116">
        <v>0</v>
      </c>
      <c r="L51" s="1116">
        <v>0</v>
      </c>
      <c r="M51" s="1116">
        <v>131847</v>
      </c>
      <c r="N51" s="1116">
        <v>0</v>
      </c>
      <c r="O51" s="1117"/>
      <c r="P51" s="1117"/>
      <c r="Q51" s="1117"/>
      <c r="R51" s="1118">
        <v>303649</v>
      </c>
      <c r="S51" s="1050">
        <f>C51-F51-G51-J51-K51-L51</f>
        <v>435496</v>
      </c>
      <c r="T51" s="1059">
        <f t="shared" si="5"/>
        <v>0.40021835551006485</v>
      </c>
    </row>
    <row r="52" spans="1:20" s="443" customFormat="1" ht="24.75" customHeight="1">
      <c r="A52" s="1013" t="s">
        <v>52</v>
      </c>
      <c r="B52" s="1083" t="s">
        <v>700</v>
      </c>
      <c r="C52" s="1050">
        <f>D52+E52</f>
        <v>1694889</v>
      </c>
      <c r="D52" s="1116">
        <v>762166</v>
      </c>
      <c r="E52" s="1116">
        <v>932723</v>
      </c>
      <c r="F52" s="1116">
        <v>31200</v>
      </c>
      <c r="G52" s="1062"/>
      <c r="H52" s="1050">
        <f t="shared" si="18"/>
        <v>1663689</v>
      </c>
      <c r="I52" s="1050">
        <f t="shared" si="19"/>
        <v>1184145</v>
      </c>
      <c r="J52" s="1116">
        <v>205579</v>
      </c>
      <c r="K52" s="1116">
        <v>13350</v>
      </c>
      <c r="L52" s="1116">
        <v>9090</v>
      </c>
      <c r="M52" s="1116">
        <v>956126</v>
      </c>
      <c r="N52" s="1116">
        <v>0</v>
      </c>
      <c r="O52" s="1117"/>
      <c r="P52" s="1117"/>
      <c r="Q52" s="1117"/>
      <c r="R52" s="1118">
        <v>479544</v>
      </c>
      <c r="S52" s="1050">
        <f>C52-F52-G52-J52-K52-L52</f>
        <v>1435670</v>
      </c>
      <c r="T52" s="1059">
        <f t="shared" si="5"/>
        <v>0.19256003276625752</v>
      </c>
    </row>
    <row r="53" spans="1:20" s="443" customFormat="1" ht="24.75" customHeight="1">
      <c r="A53" s="1013" t="s">
        <v>57</v>
      </c>
      <c r="B53" s="1083" t="s">
        <v>694</v>
      </c>
      <c r="C53" s="1050">
        <f>D53+E53</f>
        <v>3685984</v>
      </c>
      <c r="D53" s="1116">
        <v>2417402</v>
      </c>
      <c r="E53" s="1116">
        <v>1268582</v>
      </c>
      <c r="F53" s="1116">
        <v>25475</v>
      </c>
      <c r="G53" s="1062"/>
      <c r="H53" s="1050">
        <f t="shared" si="18"/>
        <v>3660509</v>
      </c>
      <c r="I53" s="1050">
        <f t="shared" si="19"/>
        <v>1741336</v>
      </c>
      <c r="J53" s="1116">
        <v>968585</v>
      </c>
      <c r="K53" s="1116">
        <v>24623</v>
      </c>
      <c r="L53" s="1116">
        <v>4912</v>
      </c>
      <c r="M53" s="1116">
        <v>743216</v>
      </c>
      <c r="N53" s="1116">
        <v>0</v>
      </c>
      <c r="O53" s="1117"/>
      <c r="P53" s="1117"/>
      <c r="Q53" s="1117"/>
      <c r="R53" s="1118">
        <v>1919173</v>
      </c>
      <c r="S53" s="1050">
        <f>C53-F53-G53-J53-K53-L53</f>
        <v>2662389</v>
      </c>
      <c r="T53" s="1059">
        <f t="shared" si="5"/>
        <v>0.5731920778069253</v>
      </c>
    </row>
    <row r="54" spans="1:20" s="443" customFormat="1" ht="24.75" customHeight="1">
      <c r="A54" s="1015" t="s">
        <v>0</v>
      </c>
      <c r="B54" s="1032" t="s">
        <v>703</v>
      </c>
      <c r="C54" s="1063">
        <f t="shared" si="17"/>
        <v>1393137</v>
      </c>
      <c r="D54" s="1063">
        <f>D55+D56</f>
        <v>954254</v>
      </c>
      <c r="E54" s="1063">
        <f>SUM(E55:E56)</f>
        <v>438883</v>
      </c>
      <c r="F54" s="1063">
        <f>SUM(F55:F56)</f>
        <v>215000</v>
      </c>
      <c r="G54" s="1063">
        <f>SUM(G55:G56)</f>
        <v>0</v>
      </c>
      <c r="H54" s="1063">
        <f t="shared" si="18"/>
        <v>1178137</v>
      </c>
      <c r="I54" s="1063">
        <f t="shared" si="19"/>
        <v>440816</v>
      </c>
      <c r="J54" s="1063">
        <f aca="true" t="shared" si="23" ref="J54:S54">SUM(J55:J56)</f>
        <v>171235</v>
      </c>
      <c r="K54" s="1063">
        <f t="shared" si="23"/>
        <v>21109</v>
      </c>
      <c r="L54" s="1063">
        <f t="shared" si="23"/>
        <v>0</v>
      </c>
      <c r="M54" s="1063">
        <f t="shared" si="23"/>
        <v>248472</v>
      </c>
      <c r="N54" s="1063">
        <f t="shared" si="23"/>
        <v>0</v>
      </c>
      <c r="O54" s="1063">
        <f t="shared" si="23"/>
        <v>0</v>
      </c>
      <c r="P54" s="1063">
        <f t="shared" si="23"/>
        <v>0</v>
      </c>
      <c r="Q54" s="1063">
        <f t="shared" si="23"/>
        <v>0</v>
      </c>
      <c r="R54" s="1063">
        <f t="shared" si="23"/>
        <v>737321</v>
      </c>
      <c r="S54" s="1063">
        <f t="shared" si="23"/>
        <v>985793</v>
      </c>
      <c r="T54" s="1060">
        <f t="shared" si="5"/>
        <v>0.4363362491379623</v>
      </c>
    </row>
    <row r="55" spans="1:20" s="443" customFormat="1" ht="24.75" customHeight="1">
      <c r="A55" s="1014" t="s">
        <v>51</v>
      </c>
      <c r="B55" s="1056" t="s">
        <v>696</v>
      </c>
      <c r="C55" s="1050">
        <f t="shared" si="17"/>
        <v>1001877</v>
      </c>
      <c r="D55" s="1090">
        <v>619071</v>
      </c>
      <c r="E55" s="1090">
        <v>382806</v>
      </c>
      <c r="F55" s="1090">
        <v>185000</v>
      </c>
      <c r="G55" s="1051">
        <v>0</v>
      </c>
      <c r="H55" s="1064">
        <f t="shared" si="18"/>
        <v>816877</v>
      </c>
      <c r="I55" s="1064">
        <f>SUM(J55:Q55)</f>
        <v>387235</v>
      </c>
      <c r="J55" s="1074">
        <v>139288</v>
      </c>
      <c r="K55" s="1074">
        <v>0</v>
      </c>
      <c r="L55" s="1074">
        <v>0</v>
      </c>
      <c r="M55" s="1074">
        <v>247947</v>
      </c>
      <c r="N55" s="1074">
        <v>0</v>
      </c>
      <c r="O55" s="1078">
        <v>0</v>
      </c>
      <c r="P55" s="1078">
        <v>0</v>
      </c>
      <c r="Q55" s="1078">
        <v>0</v>
      </c>
      <c r="R55" s="1107">
        <v>429642</v>
      </c>
      <c r="S55" s="1050">
        <f>C55-F55-G55-J55-K55-L55</f>
        <v>677589</v>
      </c>
      <c r="T55" s="1052">
        <f t="shared" si="5"/>
        <v>0.3596988908543907</v>
      </c>
    </row>
    <row r="56" spans="1:20" s="443" customFormat="1" ht="24.75" customHeight="1">
      <c r="A56" s="1014" t="s">
        <v>52</v>
      </c>
      <c r="B56" s="1056" t="s">
        <v>705</v>
      </c>
      <c r="C56" s="1050">
        <f t="shared" si="17"/>
        <v>391260</v>
      </c>
      <c r="D56" s="1119">
        <v>335183</v>
      </c>
      <c r="E56" s="1090">
        <v>56077</v>
      </c>
      <c r="F56" s="1120">
        <v>30000</v>
      </c>
      <c r="G56" s="1065">
        <v>0</v>
      </c>
      <c r="H56" s="1064">
        <f t="shared" si="18"/>
        <v>361260</v>
      </c>
      <c r="I56" s="1064">
        <f t="shared" si="19"/>
        <v>53581</v>
      </c>
      <c r="J56" s="1121">
        <v>31947</v>
      </c>
      <c r="K56" s="1121">
        <v>21109</v>
      </c>
      <c r="L56" s="1121">
        <v>0</v>
      </c>
      <c r="M56" s="1122">
        <v>525</v>
      </c>
      <c r="N56" s="1121">
        <v>0</v>
      </c>
      <c r="O56" s="1123">
        <v>0</v>
      </c>
      <c r="P56" s="1123">
        <v>0</v>
      </c>
      <c r="Q56" s="1123">
        <v>0</v>
      </c>
      <c r="R56" s="1107">
        <v>307679</v>
      </c>
      <c r="S56" s="1050">
        <f>C56-F56-G56-J56-K56-L56</f>
        <v>308204</v>
      </c>
      <c r="T56" s="1052">
        <f t="shared" si="5"/>
        <v>0.9902017506205558</v>
      </c>
    </row>
    <row r="57" spans="1:20" s="443" customFormat="1" ht="24.75" customHeight="1">
      <c r="A57" s="1012" t="s">
        <v>0</v>
      </c>
      <c r="B57" s="1032" t="s">
        <v>706</v>
      </c>
      <c r="C57" s="1061">
        <f t="shared" si="17"/>
        <v>1909627</v>
      </c>
      <c r="D57" s="1061">
        <f>SUM(D58:D59)</f>
        <v>437156</v>
      </c>
      <c r="E57" s="1061">
        <f aca="true" t="shared" si="24" ref="E57:S57">SUM(E58:E59)</f>
        <v>1472471</v>
      </c>
      <c r="F57" s="1061">
        <f t="shared" si="24"/>
        <v>0</v>
      </c>
      <c r="G57" s="1061">
        <f t="shared" si="24"/>
        <v>0</v>
      </c>
      <c r="H57" s="1061">
        <f t="shared" si="24"/>
        <v>1909627</v>
      </c>
      <c r="I57" s="1061">
        <f t="shared" si="24"/>
        <v>1419654</v>
      </c>
      <c r="J57" s="1061">
        <f t="shared" si="24"/>
        <v>194692</v>
      </c>
      <c r="K57" s="1061">
        <f t="shared" si="24"/>
        <v>21083</v>
      </c>
      <c r="L57" s="1061">
        <f t="shared" si="24"/>
        <v>0</v>
      </c>
      <c r="M57" s="1061">
        <f t="shared" si="24"/>
        <v>1203879</v>
      </c>
      <c r="N57" s="1061">
        <f t="shared" si="24"/>
        <v>0</v>
      </c>
      <c r="O57" s="1061">
        <f t="shared" si="24"/>
        <v>0</v>
      </c>
      <c r="P57" s="1061">
        <f t="shared" si="24"/>
        <v>0</v>
      </c>
      <c r="Q57" s="1061">
        <f t="shared" si="24"/>
        <v>0</v>
      </c>
      <c r="R57" s="1061">
        <f t="shared" si="24"/>
        <v>489973</v>
      </c>
      <c r="S57" s="1061">
        <f t="shared" si="24"/>
        <v>1693852</v>
      </c>
      <c r="T57" s="1048">
        <f t="shared" si="5"/>
        <v>0.1519912598421869</v>
      </c>
    </row>
    <row r="58" spans="1:20" s="443" customFormat="1" ht="24.75" customHeight="1">
      <c r="A58" s="1012">
        <v>1</v>
      </c>
      <c r="B58" s="1084" t="s">
        <v>707</v>
      </c>
      <c r="C58" s="1050">
        <f t="shared" si="17"/>
        <v>98789</v>
      </c>
      <c r="D58" s="1124">
        <v>80800</v>
      </c>
      <c r="E58" s="1125">
        <v>17989</v>
      </c>
      <c r="F58" s="1066"/>
      <c r="G58" s="1067">
        <v>0</v>
      </c>
      <c r="H58" s="1050">
        <f t="shared" si="18"/>
        <v>98789</v>
      </c>
      <c r="I58" s="1050">
        <f t="shared" si="19"/>
        <v>17989</v>
      </c>
      <c r="J58" s="1125">
        <v>7189</v>
      </c>
      <c r="K58" s="1125">
        <v>0</v>
      </c>
      <c r="L58" s="1126">
        <v>0</v>
      </c>
      <c r="M58" s="1126">
        <v>10800</v>
      </c>
      <c r="N58" s="1127">
        <v>0</v>
      </c>
      <c r="O58" s="1125">
        <v>0</v>
      </c>
      <c r="P58" s="1125">
        <v>0</v>
      </c>
      <c r="Q58" s="1125">
        <v>0</v>
      </c>
      <c r="R58" s="1125">
        <v>80800</v>
      </c>
      <c r="S58" s="1050">
        <f>C58-F58-G58-J58-K58-L58</f>
        <v>91600</v>
      </c>
      <c r="T58" s="1052">
        <f t="shared" si="5"/>
        <v>0.39963310912224137</v>
      </c>
    </row>
    <row r="59" spans="1:20" s="443" customFormat="1" ht="24.75" customHeight="1">
      <c r="A59" s="1013">
        <v>2</v>
      </c>
      <c r="B59" s="1084" t="s">
        <v>708</v>
      </c>
      <c r="C59" s="1050">
        <f t="shared" si="17"/>
        <v>1810838</v>
      </c>
      <c r="D59" s="1124">
        <v>356356</v>
      </c>
      <c r="E59" s="1125">
        <v>1454482</v>
      </c>
      <c r="F59" s="1066"/>
      <c r="G59" s="1067">
        <v>0</v>
      </c>
      <c r="H59" s="1050">
        <f t="shared" si="18"/>
        <v>1810838</v>
      </c>
      <c r="I59" s="1050">
        <f t="shared" si="19"/>
        <v>1401665</v>
      </c>
      <c r="J59" s="1125">
        <v>187503</v>
      </c>
      <c r="K59" s="1125">
        <v>21083</v>
      </c>
      <c r="L59" s="1126">
        <v>0</v>
      </c>
      <c r="M59" s="1126">
        <v>1193079</v>
      </c>
      <c r="N59" s="1127">
        <v>0</v>
      </c>
      <c r="O59" s="1125">
        <v>0</v>
      </c>
      <c r="P59" s="1125">
        <v>0</v>
      </c>
      <c r="Q59" s="1125">
        <v>0</v>
      </c>
      <c r="R59" s="1125">
        <v>409173</v>
      </c>
      <c r="S59" s="1050">
        <f>C59-F59-G59-J59-K59-L59</f>
        <v>1602252</v>
      </c>
      <c r="T59" s="1052">
        <f t="shared" si="5"/>
        <v>0.14881301880263828</v>
      </c>
    </row>
    <row r="60" spans="1:22" s="443" customFormat="1" ht="24.75" customHeight="1" thickBot="1">
      <c r="A60" s="1611" t="s">
        <v>807</v>
      </c>
      <c r="B60" s="1611"/>
      <c r="C60" s="1611"/>
      <c r="D60" s="1611"/>
      <c r="E60" s="1611"/>
      <c r="F60" s="1611"/>
      <c r="G60" s="1611"/>
      <c r="H60" s="1611"/>
      <c r="I60" s="1611"/>
      <c r="J60" s="1611"/>
      <c r="K60" s="1611"/>
      <c r="L60" s="1611"/>
      <c r="M60" s="1611"/>
      <c r="N60" s="1611"/>
      <c r="O60" s="1611"/>
      <c r="P60" s="1611"/>
      <c r="Q60" s="1611"/>
      <c r="R60" s="1611"/>
      <c r="S60" s="1611"/>
      <c r="T60" s="1611"/>
      <c r="U60" s="1611"/>
      <c r="V60" s="1611"/>
    </row>
    <row r="61" spans="1:20" s="434" customFormat="1" ht="24.75" customHeight="1" thickTop="1">
      <c r="A61" s="1613"/>
      <c r="B61" s="1613"/>
      <c r="C61" s="1613"/>
      <c r="D61" s="1613"/>
      <c r="E61" s="1613"/>
      <c r="F61" s="1016"/>
      <c r="G61" s="1017"/>
      <c r="H61" s="1017"/>
      <c r="I61" s="1017"/>
      <c r="J61" s="1017"/>
      <c r="K61" s="1017"/>
      <c r="L61" s="1017"/>
      <c r="M61" s="1017"/>
      <c r="N61" s="1017"/>
      <c r="O61" s="1632" t="str">
        <f>'Thong tin'!B8</f>
        <v>Tuyên Quang, ngày 05 tháng 04 năm 2017</v>
      </c>
      <c r="P61" s="1632"/>
      <c r="Q61" s="1632"/>
      <c r="R61" s="1632"/>
      <c r="S61" s="1632"/>
      <c r="T61" s="1632"/>
    </row>
    <row r="62" spans="1:20" s="501" customFormat="1" ht="22.5" customHeight="1">
      <c r="A62" s="1018"/>
      <c r="B62" s="1626" t="s">
        <v>4</v>
      </c>
      <c r="C62" s="1626"/>
      <c r="D62" s="1626"/>
      <c r="E62" s="1626"/>
      <c r="F62" s="1019"/>
      <c r="G62" s="1019"/>
      <c r="H62" s="1019"/>
      <c r="I62" s="1019"/>
      <c r="J62" s="1019"/>
      <c r="K62" s="1019"/>
      <c r="L62" s="1019"/>
      <c r="M62" s="1019"/>
      <c r="N62" s="1019"/>
      <c r="O62" s="1629" t="str">
        <f>'Thong tin'!B7</f>
        <v>CỤC TRƯỞNG</v>
      </c>
      <c r="P62" s="1629"/>
      <c r="Q62" s="1629"/>
      <c r="R62" s="1629"/>
      <c r="S62" s="1629"/>
      <c r="T62" s="1629"/>
    </row>
    <row r="63" spans="1:20" ht="18.75">
      <c r="A63" s="536"/>
      <c r="B63" s="1573"/>
      <c r="C63" s="1573"/>
      <c r="D63" s="1573"/>
      <c r="E63" s="542"/>
      <c r="F63" s="542"/>
      <c r="G63" s="542"/>
      <c r="H63" s="542"/>
      <c r="I63" s="542"/>
      <c r="J63" s="542"/>
      <c r="K63" s="542"/>
      <c r="L63" s="542"/>
      <c r="M63" s="542"/>
      <c r="N63" s="542"/>
      <c r="O63" s="1557"/>
      <c r="P63" s="1557"/>
      <c r="Q63" s="1557"/>
      <c r="R63" s="1557"/>
      <c r="S63" s="1557"/>
      <c r="T63" s="1557"/>
    </row>
    <row r="64" spans="1:20" ht="18.75">
      <c r="A64" s="536"/>
      <c r="B64" s="536"/>
      <c r="C64" s="536"/>
      <c r="D64" s="542"/>
      <c r="E64" s="542"/>
      <c r="F64" s="542"/>
      <c r="G64" s="542"/>
      <c r="H64" s="542"/>
      <c r="I64" s="542"/>
      <c r="J64" s="542"/>
      <c r="K64" s="542"/>
      <c r="L64" s="542"/>
      <c r="M64" s="542"/>
      <c r="N64" s="542"/>
      <c r="O64" s="542"/>
      <c r="P64" s="542"/>
      <c r="Q64" s="542"/>
      <c r="R64" s="542"/>
      <c r="S64" s="536"/>
      <c r="T64" s="536"/>
    </row>
    <row r="65" spans="1:20" ht="15.75">
      <c r="A65" s="530"/>
      <c r="B65" s="1617"/>
      <c r="C65" s="1617"/>
      <c r="D65" s="1617"/>
      <c r="E65" s="554"/>
      <c r="F65" s="554"/>
      <c r="G65" s="554"/>
      <c r="H65" s="554"/>
      <c r="I65" s="554"/>
      <c r="J65" s="554"/>
      <c r="K65" s="554"/>
      <c r="L65" s="554"/>
      <c r="M65" s="554"/>
      <c r="N65" s="554"/>
      <c r="O65" s="554"/>
      <c r="P65" s="554"/>
      <c r="Q65" s="1617"/>
      <c r="R65" s="1617"/>
      <c r="S65" s="1617"/>
      <c r="T65" s="530"/>
    </row>
    <row r="66" spans="1:20" ht="15.75" customHeight="1">
      <c r="A66" s="555"/>
      <c r="B66" s="549"/>
      <c r="C66" s="549"/>
      <c r="D66" s="556"/>
      <c r="E66" s="556"/>
      <c r="F66" s="556"/>
      <c r="G66" s="556"/>
      <c r="H66" s="556"/>
      <c r="I66" s="556"/>
      <c r="J66" s="556"/>
      <c r="K66" s="556"/>
      <c r="L66" s="556"/>
      <c r="M66" s="556"/>
      <c r="N66" s="556"/>
      <c r="O66" s="556"/>
      <c r="P66" s="556"/>
      <c r="Q66" s="556"/>
      <c r="R66" s="556"/>
      <c r="S66" s="549"/>
      <c r="T66" s="549"/>
    </row>
    <row r="67" spans="1:20" ht="15.75" customHeight="1">
      <c r="A67" s="530"/>
      <c r="B67" s="1570"/>
      <c r="C67" s="1570"/>
      <c r="D67" s="1570"/>
      <c r="E67" s="1570"/>
      <c r="F67" s="1570"/>
      <c r="G67" s="1570"/>
      <c r="H67" s="1570"/>
      <c r="I67" s="1570"/>
      <c r="J67" s="1570"/>
      <c r="K67" s="1570"/>
      <c r="L67" s="1570"/>
      <c r="M67" s="1570"/>
      <c r="N67" s="1570"/>
      <c r="O67" s="1570"/>
      <c r="P67" s="1570"/>
      <c r="Q67" s="554"/>
      <c r="R67" s="554"/>
      <c r="S67" s="530"/>
      <c r="T67" s="530"/>
    </row>
    <row r="68" spans="1:20" ht="15.75">
      <c r="A68" s="557"/>
      <c r="B68" s="557"/>
      <c r="C68" s="557"/>
      <c r="D68" s="557"/>
      <c r="E68" s="557"/>
      <c r="F68" s="557"/>
      <c r="G68" s="557"/>
      <c r="H68" s="557"/>
      <c r="I68" s="557"/>
      <c r="J68" s="557"/>
      <c r="K68" s="557"/>
      <c r="L68" s="557"/>
      <c r="M68" s="557"/>
      <c r="N68" s="557"/>
      <c r="O68" s="557"/>
      <c r="P68" s="557"/>
      <c r="Q68" s="557"/>
      <c r="R68" s="530"/>
      <c r="S68" s="530"/>
      <c r="T68" s="530"/>
    </row>
    <row r="69" spans="1:20" ht="18.75">
      <c r="A69" s="530"/>
      <c r="B69" s="1519" t="str">
        <f>'Thong tin'!B5</f>
        <v>Duy Thị Thúy</v>
      </c>
      <c r="C69" s="1519"/>
      <c r="D69" s="1519"/>
      <c r="E69" s="1519"/>
      <c r="F69" s="549"/>
      <c r="G69" s="549"/>
      <c r="H69" s="549"/>
      <c r="I69" s="549"/>
      <c r="J69" s="549"/>
      <c r="K69" s="549"/>
      <c r="L69" s="549"/>
      <c r="M69" s="549"/>
      <c r="N69" s="549"/>
      <c r="O69" s="1519" t="str">
        <f>'Thong tin'!B6</f>
        <v>Nguyễn Tuyên </v>
      </c>
      <c r="P69" s="1519"/>
      <c r="Q69" s="1519"/>
      <c r="R69" s="1519"/>
      <c r="S69" s="1519"/>
      <c r="T69" s="1519"/>
    </row>
    <row r="70" spans="2:20" ht="18.75">
      <c r="B70" s="1615"/>
      <c r="C70" s="1615"/>
      <c r="D70" s="1615"/>
      <c r="E70" s="1615"/>
      <c r="F70" s="443"/>
      <c r="G70" s="443"/>
      <c r="H70" s="443"/>
      <c r="I70" s="443"/>
      <c r="J70" s="443"/>
      <c r="K70" s="443"/>
      <c r="L70" s="443"/>
      <c r="M70" s="443"/>
      <c r="N70" s="443"/>
      <c r="O70" s="443"/>
      <c r="P70" s="1615"/>
      <c r="Q70" s="1615"/>
      <c r="R70" s="1615"/>
      <c r="S70" s="1615"/>
      <c r="T70" s="1616"/>
    </row>
  </sheetData>
  <sheetProtection/>
  <mergeCells count="39">
    <mergeCell ref="A2:D2"/>
    <mergeCell ref="Q2:T2"/>
    <mergeCell ref="B62:E62"/>
    <mergeCell ref="A10:B10"/>
    <mergeCell ref="H7:H9"/>
    <mergeCell ref="O62:T62"/>
    <mergeCell ref="T6:T9"/>
    <mergeCell ref="O61:T61"/>
    <mergeCell ref="S6:S9"/>
    <mergeCell ref="C7:C9"/>
    <mergeCell ref="E1:P1"/>
    <mergeCell ref="E2:P2"/>
    <mergeCell ref="E3:P3"/>
    <mergeCell ref="F6:F9"/>
    <mergeCell ref="G6:G9"/>
    <mergeCell ref="H6:R6"/>
    <mergeCell ref="C6:E6"/>
    <mergeCell ref="I7:Q7"/>
    <mergeCell ref="I8:I9"/>
    <mergeCell ref="R7:R9"/>
    <mergeCell ref="A3:D3"/>
    <mergeCell ref="A61:E61"/>
    <mergeCell ref="Q4:T4"/>
    <mergeCell ref="B70:E70"/>
    <mergeCell ref="P70:T70"/>
    <mergeCell ref="B69:E69"/>
    <mergeCell ref="B67:P67"/>
    <mergeCell ref="O69:T69"/>
    <mergeCell ref="Q65:S65"/>
    <mergeCell ref="B65:D65"/>
    <mergeCell ref="O63:T63"/>
    <mergeCell ref="B63:D63"/>
    <mergeCell ref="A6:B9"/>
    <mergeCell ref="Q5:T5"/>
    <mergeCell ref="D7:E7"/>
    <mergeCell ref="D8:D9"/>
    <mergeCell ref="E8:E9"/>
    <mergeCell ref="J8:Q8"/>
    <mergeCell ref="A60:V6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6"/>
  <sheetViews>
    <sheetView zoomScaleSheetLayoutView="85" zoomScalePageLayoutView="0" workbookViewId="0" topLeftCell="A4">
      <selection activeCell="J13" sqref="J13"/>
    </sheetView>
  </sheetViews>
  <sheetFormatPr defaultColWidth="9.00390625" defaultRowHeight="15.75"/>
  <cols>
    <col min="1" max="1" width="3.75390625" style="562" customWidth="1"/>
    <col min="2" max="2" width="25.625" style="562" customWidth="1"/>
    <col min="3" max="3" width="7.50390625" style="562" customWidth="1"/>
    <col min="4" max="4" width="12.375" style="562" customWidth="1"/>
    <col min="5" max="5" width="6.25390625" style="562" customWidth="1"/>
    <col min="6" max="6" width="12.625" style="562" customWidth="1"/>
    <col min="7" max="7" width="8.00390625" style="562" customWidth="1"/>
    <col min="8" max="8" width="11.25390625" style="562" customWidth="1"/>
    <col min="9" max="9" width="7.125" style="562" customWidth="1"/>
    <col min="10" max="10" width="11.25390625" style="562" customWidth="1"/>
    <col min="11" max="11" width="7.375" style="562" customWidth="1"/>
    <col min="12" max="12" width="10.125" style="562" customWidth="1"/>
    <col min="13" max="13" width="6.00390625" style="562" customWidth="1"/>
    <col min="14" max="14" width="12.50390625" style="562" customWidth="1"/>
    <col min="15" max="16384" width="9.00390625" style="562" customWidth="1"/>
  </cols>
  <sheetData>
    <row r="1" spans="1:14" ht="18" customHeight="1">
      <c r="A1" s="1650" t="s">
        <v>35</v>
      </c>
      <c r="B1" s="1650"/>
      <c r="C1" s="1650"/>
      <c r="D1" s="1650"/>
      <c r="E1" s="1651" t="s">
        <v>569</v>
      </c>
      <c r="F1" s="1651"/>
      <c r="G1" s="1651"/>
      <c r="H1" s="1651"/>
      <c r="I1" s="1651"/>
      <c r="J1" s="1651"/>
      <c r="K1" s="1651"/>
      <c r="L1" s="561" t="s">
        <v>570</v>
      </c>
      <c r="M1" s="561"/>
      <c r="N1" s="561"/>
    </row>
    <row r="2" spans="1:14" ht="24" customHeight="1">
      <c r="A2" s="1652" t="s">
        <v>342</v>
      </c>
      <c r="B2" s="1652"/>
      <c r="C2" s="1652"/>
      <c r="D2" s="1652"/>
      <c r="E2" s="1651"/>
      <c r="F2" s="1651"/>
      <c r="G2" s="1651"/>
      <c r="H2" s="1651"/>
      <c r="I2" s="1651"/>
      <c r="J2" s="1651"/>
      <c r="K2" s="1651"/>
      <c r="L2" s="1653" t="str">
        <f>'Thong tin'!B4</f>
        <v>Cục THADS tỉnh Tuyên Quang</v>
      </c>
      <c r="M2" s="1653"/>
      <c r="N2" s="1653"/>
    </row>
    <row r="3" spans="1:14" ht="16.5" customHeight="1">
      <c r="A3" s="1652" t="s">
        <v>343</v>
      </c>
      <c r="B3" s="1652"/>
      <c r="C3" s="1652"/>
      <c r="D3" s="1652"/>
      <c r="E3" s="1657" t="str">
        <f>'Thong tin'!B3</f>
        <v>06 tháng / năm 2017</v>
      </c>
      <c r="F3" s="1657"/>
      <c r="G3" s="1657"/>
      <c r="H3" s="1657"/>
      <c r="I3" s="1657"/>
      <c r="J3" s="1657"/>
      <c r="K3" s="564"/>
      <c r="L3" s="1654" t="s">
        <v>645</v>
      </c>
      <c r="M3" s="1654"/>
      <c r="N3" s="1654"/>
    </row>
    <row r="4" spans="1:14" ht="15.75" customHeight="1">
      <c r="A4" s="1655" t="s">
        <v>362</v>
      </c>
      <c r="B4" s="1655"/>
      <c r="C4" s="1655"/>
      <c r="D4" s="1655"/>
      <c r="E4" s="566"/>
      <c r="F4" s="567"/>
      <c r="G4" s="567"/>
      <c r="H4" s="567"/>
      <c r="I4" s="567"/>
      <c r="J4" s="567"/>
      <c r="L4" s="1656" t="s">
        <v>410</v>
      </c>
      <c r="M4" s="1656"/>
      <c r="N4" s="1656"/>
    </row>
    <row r="5" spans="1:14" ht="18" customHeight="1">
      <c r="A5" s="567"/>
      <c r="D5" s="1644"/>
      <c r="E5" s="1644"/>
      <c r="F5" s="1644"/>
      <c r="G5" s="1644"/>
      <c r="H5" s="1644"/>
      <c r="I5" s="1644"/>
      <c r="J5" s="1644"/>
      <c r="K5" s="1644"/>
      <c r="L5" s="568" t="s">
        <v>363</v>
      </c>
      <c r="M5" s="568"/>
      <c r="N5" s="568"/>
    </row>
    <row r="6" spans="1:14" ht="18" customHeight="1">
      <c r="A6" s="1645" t="s">
        <v>71</v>
      </c>
      <c r="B6" s="1646"/>
      <c r="C6" s="1649" t="s">
        <v>364</v>
      </c>
      <c r="D6" s="1649"/>
      <c r="E6" s="1649"/>
      <c r="F6" s="1649"/>
      <c r="G6" s="1635" t="s">
        <v>7</v>
      </c>
      <c r="H6" s="1638"/>
      <c r="I6" s="1638"/>
      <c r="J6" s="1638"/>
      <c r="K6" s="1638"/>
      <c r="L6" s="1638"/>
      <c r="M6" s="1638"/>
      <c r="N6" s="1639"/>
    </row>
    <row r="7" spans="1:14" ht="36.75" customHeight="1">
      <c r="A7" s="1647"/>
      <c r="B7" s="1648"/>
      <c r="C7" s="1649"/>
      <c r="D7" s="1649"/>
      <c r="E7" s="1649"/>
      <c r="F7" s="1649"/>
      <c r="G7" s="1635" t="s">
        <v>366</v>
      </c>
      <c r="H7" s="1638"/>
      <c r="I7" s="1638"/>
      <c r="J7" s="1639"/>
      <c r="K7" s="1635" t="s">
        <v>109</v>
      </c>
      <c r="L7" s="1638"/>
      <c r="M7" s="1638"/>
      <c r="N7" s="1639"/>
    </row>
    <row r="8" spans="1:14" ht="28.5" customHeight="1">
      <c r="A8" s="1647"/>
      <c r="B8" s="1648"/>
      <c r="C8" s="1635" t="s">
        <v>106</v>
      </c>
      <c r="D8" s="1639"/>
      <c r="E8" s="1635" t="s">
        <v>105</v>
      </c>
      <c r="F8" s="1639"/>
      <c r="G8" s="1635" t="s">
        <v>107</v>
      </c>
      <c r="H8" s="1636"/>
      <c r="I8" s="1635" t="s">
        <v>108</v>
      </c>
      <c r="J8" s="1636"/>
      <c r="K8" s="1635" t="s">
        <v>110</v>
      </c>
      <c r="L8" s="1636"/>
      <c r="M8" s="1635" t="s">
        <v>111</v>
      </c>
      <c r="N8" s="1636"/>
    </row>
    <row r="9" spans="1:14" ht="24.75" customHeight="1">
      <c r="A9" s="1647"/>
      <c r="B9" s="1648"/>
      <c r="C9" s="753" t="s">
        <v>3</v>
      </c>
      <c r="D9" s="752" t="s">
        <v>10</v>
      </c>
      <c r="E9" s="752" t="s">
        <v>3</v>
      </c>
      <c r="F9" s="752" t="s">
        <v>10</v>
      </c>
      <c r="G9" s="752" t="s">
        <v>3</v>
      </c>
      <c r="H9" s="752" t="s">
        <v>10</v>
      </c>
      <c r="I9" s="752" t="s">
        <v>3</v>
      </c>
      <c r="J9" s="752" t="s">
        <v>10</v>
      </c>
      <c r="K9" s="752" t="s">
        <v>3</v>
      </c>
      <c r="L9" s="752" t="s">
        <v>10</v>
      </c>
      <c r="M9" s="752" t="s">
        <v>3</v>
      </c>
      <c r="N9" s="752" t="s">
        <v>10</v>
      </c>
    </row>
    <row r="10" spans="1:14" s="569" customFormat="1" ht="18" customHeight="1">
      <c r="A10" s="1640" t="s">
        <v>6</v>
      </c>
      <c r="B10" s="1640"/>
      <c r="C10" s="875">
        <v>1</v>
      </c>
      <c r="D10" s="875">
        <v>2</v>
      </c>
      <c r="E10" s="875">
        <v>3</v>
      </c>
      <c r="F10" s="875">
        <v>4</v>
      </c>
      <c r="G10" s="875">
        <v>5</v>
      </c>
      <c r="H10" s="875">
        <v>6</v>
      </c>
      <c r="I10" s="875">
        <v>7</v>
      </c>
      <c r="J10" s="875">
        <v>8</v>
      </c>
      <c r="K10" s="875">
        <v>9</v>
      </c>
      <c r="L10" s="875">
        <v>10</v>
      </c>
      <c r="M10" s="875">
        <v>11</v>
      </c>
      <c r="N10" s="875">
        <v>12</v>
      </c>
    </row>
    <row r="11" spans="1:14" s="569" customFormat="1" ht="18" customHeight="1">
      <c r="A11" s="1641" t="s">
        <v>37</v>
      </c>
      <c r="B11" s="1642"/>
      <c r="C11" s="868">
        <f>C12+C13</f>
        <v>13</v>
      </c>
      <c r="D11" s="868">
        <f aca="true" t="shared" si="0" ref="D11:N11">D12+D13</f>
        <v>168152</v>
      </c>
      <c r="E11" s="868">
        <f t="shared" si="0"/>
        <v>9</v>
      </c>
      <c r="F11" s="868">
        <f t="shared" si="0"/>
        <v>160586</v>
      </c>
      <c r="G11" s="868">
        <f t="shared" si="0"/>
        <v>10</v>
      </c>
      <c r="H11" s="868">
        <f t="shared" si="0"/>
        <v>137150</v>
      </c>
      <c r="I11" s="868">
        <f t="shared" si="0"/>
        <v>6</v>
      </c>
      <c r="J11" s="868">
        <f t="shared" si="0"/>
        <v>129584</v>
      </c>
      <c r="K11" s="868">
        <f t="shared" si="0"/>
        <v>3</v>
      </c>
      <c r="L11" s="868">
        <f t="shared" si="0"/>
        <v>31002</v>
      </c>
      <c r="M11" s="868">
        <f t="shared" si="0"/>
        <v>3</v>
      </c>
      <c r="N11" s="868">
        <f t="shared" si="0"/>
        <v>31002</v>
      </c>
    </row>
    <row r="12" spans="1:14" s="569" customFormat="1" ht="18" customHeight="1">
      <c r="A12" s="570" t="s">
        <v>0</v>
      </c>
      <c r="B12" s="571" t="s">
        <v>97</v>
      </c>
      <c r="C12" s="849">
        <f>G12+K12</f>
        <v>0</v>
      </c>
      <c r="D12" s="849">
        <f>H12+L12</f>
        <v>5714</v>
      </c>
      <c r="E12" s="849">
        <f>I12+M12</f>
        <v>0</v>
      </c>
      <c r="F12" s="849">
        <f>J12+N12</f>
        <v>5714</v>
      </c>
      <c r="G12" s="850"/>
      <c r="H12" s="850"/>
      <c r="I12" s="850"/>
      <c r="J12" s="850"/>
      <c r="K12" s="850"/>
      <c r="L12" s="850">
        <v>5714</v>
      </c>
      <c r="M12" s="850"/>
      <c r="N12" s="850">
        <v>5714</v>
      </c>
    </row>
    <row r="13" spans="1:14" s="569" customFormat="1" ht="18" customHeight="1">
      <c r="A13" s="572" t="s">
        <v>1</v>
      </c>
      <c r="B13" s="571" t="s">
        <v>18</v>
      </c>
      <c r="C13" s="978">
        <f aca="true" t="shared" si="1" ref="C13:C20">G13+K13</f>
        <v>13</v>
      </c>
      <c r="D13" s="978">
        <f aca="true" t="shared" si="2" ref="D13:D20">H13+L13</f>
        <v>162438</v>
      </c>
      <c r="E13" s="978">
        <f aca="true" t="shared" si="3" ref="E13:E20">I13+M13</f>
        <v>9</v>
      </c>
      <c r="F13" s="978">
        <f aca="true" t="shared" si="4" ref="F13:F20">J13+N13</f>
        <v>154872</v>
      </c>
      <c r="G13" s="869">
        <f aca="true" t="shared" si="5" ref="G13:N13">SUM(G14:G20)</f>
        <v>10</v>
      </c>
      <c r="H13" s="869">
        <f t="shared" si="5"/>
        <v>137150</v>
      </c>
      <c r="I13" s="869">
        <f t="shared" si="5"/>
        <v>6</v>
      </c>
      <c r="J13" s="869">
        <f t="shared" si="5"/>
        <v>129584</v>
      </c>
      <c r="K13" s="869">
        <f t="shared" si="5"/>
        <v>3</v>
      </c>
      <c r="L13" s="869">
        <f t="shared" si="5"/>
        <v>25288</v>
      </c>
      <c r="M13" s="869">
        <f t="shared" si="5"/>
        <v>3</v>
      </c>
      <c r="N13" s="869">
        <f t="shared" si="5"/>
        <v>25288</v>
      </c>
    </row>
    <row r="14" spans="1:14" s="569" customFormat="1" ht="18" customHeight="1">
      <c r="A14" s="572" t="s">
        <v>51</v>
      </c>
      <c r="B14" s="837" t="s">
        <v>714</v>
      </c>
      <c r="C14" s="849">
        <f t="shared" si="1"/>
        <v>1</v>
      </c>
      <c r="D14" s="849">
        <f t="shared" si="2"/>
        <v>3000</v>
      </c>
      <c r="E14" s="849">
        <f t="shared" si="3"/>
        <v>0</v>
      </c>
      <c r="F14" s="849">
        <f t="shared" si="4"/>
        <v>0</v>
      </c>
      <c r="G14" s="850">
        <v>1</v>
      </c>
      <c r="H14" s="850">
        <v>3000</v>
      </c>
      <c r="I14" s="850"/>
      <c r="J14" s="850"/>
      <c r="K14" s="850"/>
      <c r="L14" s="850"/>
      <c r="M14" s="850"/>
      <c r="N14" s="850"/>
    </row>
    <row r="15" spans="1:14" s="569" customFormat="1" ht="18" customHeight="1">
      <c r="A15" s="572" t="s">
        <v>52</v>
      </c>
      <c r="B15" s="837" t="s">
        <v>715</v>
      </c>
      <c r="C15" s="1147">
        <f t="shared" si="1"/>
        <v>0</v>
      </c>
      <c r="D15" s="1147">
        <f t="shared" si="2"/>
        <v>0</v>
      </c>
      <c r="E15" s="1147">
        <f t="shared" si="3"/>
        <v>0</v>
      </c>
      <c r="F15" s="1147">
        <f t="shared" si="4"/>
        <v>0</v>
      </c>
      <c r="G15" s="1148"/>
      <c r="H15" s="1148"/>
      <c r="I15" s="1148"/>
      <c r="J15" s="1148"/>
      <c r="K15" s="1148"/>
      <c r="L15" s="1148"/>
      <c r="M15" s="1148"/>
      <c r="N15" s="1148"/>
    </row>
    <row r="16" spans="1:14" s="569" customFormat="1" ht="18" customHeight="1">
      <c r="A16" s="572" t="s">
        <v>57</v>
      </c>
      <c r="B16" s="837" t="s">
        <v>716</v>
      </c>
      <c r="C16" s="849">
        <f t="shared" si="1"/>
        <v>1</v>
      </c>
      <c r="D16" s="849">
        <f t="shared" si="2"/>
        <v>117787</v>
      </c>
      <c r="E16" s="849">
        <f t="shared" si="3"/>
        <v>1</v>
      </c>
      <c r="F16" s="849">
        <f t="shared" si="4"/>
        <v>117787</v>
      </c>
      <c r="G16" s="850">
        <v>1</v>
      </c>
      <c r="H16" s="850">
        <v>106501</v>
      </c>
      <c r="I16" s="850">
        <v>1</v>
      </c>
      <c r="J16" s="850">
        <v>106501</v>
      </c>
      <c r="K16" s="850"/>
      <c r="L16" s="850">
        <v>11286</v>
      </c>
      <c r="M16" s="850"/>
      <c r="N16" s="850">
        <v>11286</v>
      </c>
    </row>
    <row r="17" spans="1:14" s="569" customFormat="1" ht="18" customHeight="1">
      <c r="A17" s="572" t="s">
        <v>72</v>
      </c>
      <c r="B17" s="837" t="s">
        <v>717</v>
      </c>
      <c r="C17" s="849">
        <f t="shared" si="1"/>
        <v>3</v>
      </c>
      <c r="D17" s="849">
        <f t="shared" si="2"/>
        <v>4566</v>
      </c>
      <c r="E17" s="849">
        <f t="shared" si="3"/>
        <v>0</v>
      </c>
      <c r="F17" s="849">
        <f t="shared" si="4"/>
        <v>0</v>
      </c>
      <c r="G17" s="850">
        <v>3</v>
      </c>
      <c r="H17" s="850">
        <v>4566</v>
      </c>
      <c r="I17" s="850"/>
      <c r="J17" s="850"/>
      <c r="K17" s="850"/>
      <c r="L17" s="850"/>
      <c r="M17" s="850"/>
      <c r="N17" s="850"/>
    </row>
    <row r="18" spans="1:14" s="569" customFormat="1" ht="18" customHeight="1">
      <c r="A18" s="572" t="s">
        <v>73</v>
      </c>
      <c r="B18" s="837" t="s">
        <v>718</v>
      </c>
      <c r="C18" s="849">
        <f t="shared" si="1"/>
        <v>7</v>
      </c>
      <c r="D18" s="849">
        <f t="shared" si="2"/>
        <v>35385</v>
      </c>
      <c r="E18" s="849">
        <f t="shared" si="3"/>
        <v>7</v>
      </c>
      <c r="F18" s="849">
        <f t="shared" si="4"/>
        <v>35385</v>
      </c>
      <c r="G18" s="850">
        <v>4</v>
      </c>
      <c r="H18" s="850">
        <v>21383</v>
      </c>
      <c r="I18" s="850">
        <v>4</v>
      </c>
      <c r="J18" s="850">
        <v>21383</v>
      </c>
      <c r="K18" s="850">
        <v>3</v>
      </c>
      <c r="L18" s="850">
        <v>14002</v>
      </c>
      <c r="M18" s="850">
        <v>3</v>
      </c>
      <c r="N18" s="850">
        <v>14002</v>
      </c>
    </row>
    <row r="19" spans="1:14" s="569" customFormat="1" ht="18" customHeight="1">
      <c r="A19" s="572" t="s">
        <v>74</v>
      </c>
      <c r="B19" s="837" t="s">
        <v>719</v>
      </c>
      <c r="C19" s="849">
        <f t="shared" si="1"/>
        <v>1</v>
      </c>
      <c r="D19" s="849">
        <f t="shared" si="2"/>
        <v>1700</v>
      </c>
      <c r="E19" s="849">
        <f t="shared" si="3"/>
        <v>1</v>
      </c>
      <c r="F19" s="849">
        <f t="shared" si="4"/>
        <v>1700</v>
      </c>
      <c r="G19" s="850">
        <v>1</v>
      </c>
      <c r="H19" s="850">
        <v>1700</v>
      </c>
      <c r="I19" s="850">
        <v>1</v>
      </c>
      <c r="J19" s="850">
        <v>1700</v>
      </c>
      <c r="K19" s="850"/>
      <c r="L19" s="850"/>
      <c r="M19" s="850"/>
      <c r="N19" s="850"/>
    </row>
    <row r="20" spans="1:14" s="569" customFormat="1" ht="18" customHeight="1">
      <c r="A20" s="572" t="s">
        <v>75</v>
      </c>
      <c r="B20" s="837" t="s">
        <v>720</v>
      </c>
      <c r="C20" s="1147">
        <f t="shared" si="1"/>
        <v>0</v>
      </c>
      <c r="D20" s="1147">
        <f t="shared" si="2"/>
        <v>0</v>
      </c>
      <c r="E20" s="1147">
        <f t="shared" si="3"/>
        <v>0</v>
      </c>
      <c r="F20" s="1147">
        <f t="shared" si="4"/>
        <v>0</v>
      </c>
      <c r="G20" s="1148"/>
      <c r="H20" s="1148"/>
      <c r="I20" s="1148"/>
      <c r="J20" s="1148"/>
      <c r="K20" s="1148"/>
      <c r="L20" s="1148"/>
      <c r="M20" s="1148"/>
      <c r="N20" s="1148"/>
    </row>
    <row r="21" spans="1:14" s="574" customFormat="1" ht="23.25" customHeight="1">
      <c r="A21" s="562"/>
      <c r="B21" s="1643"/>
      <c r="C21" s="1643"/>
      <c r="D21" s="1643"/>
      <c r="E21" s="1643"/>
      <c r="F21" s="754"/>
      <c r="G21" s="755"/>
      <c r="H21" s="755"/>
      <c r="I21" s="755"/>
      <c r="J21" s="1643" t="str">
        <f>'Thong tin'!B8</f>
        <v>Tuyên Quang, ngày 05 tháng 04 năm 2017</v>
      </c>
      <c r="K21" s="1643"/>
      <c r="L21" s="1643"/>
      <c r="M21" s="1643"/>
      <c r="N21" s="1643"/>
    </row>
    <row r="22" spans="1:14" s="576" customFormat="1" ht="24.75" customHeight="1">
      <c r="A22" s="575"/>
      <c r="B22" s="1633" t="s">
        <v>42</v>
      </c>
      <c r="C22" s="1633"/>
      <c r="D22" s="1633"/>
      <c r="E22" s="1633"/>
      <c r="F22" s="756"/>
      <c r="G22" s="757"/>
      <c r="H22" s="757"/>
      <c r="I22" s="757"/>
      <c r="J22" s="1633" t="str">
        <f>'Thong tin'!B7</f>
        <v>CỤC TRƯỞNG</v>
      </c>
      <c r="K22" s="1633"/>
      <c r="L22" s="1633"/>
      <c r="M22" s="1633"/>
      <c r="N22" s="1633"/>
    </row>
    <row r="23" spans="1:14" s="576" customFormat="1" ht="24.75" customHeight="1">
      <c r="A23" s="575"/>
      <c r="B23" s="1637"/>
      <c r="C23" s="1637"/>
      <c r="D23" s="1637"/>
      <c r="E23" s="756"/>
      <c r="F23" s="756"/>
      <c r="G23" s="757"/>
      <c r="H23" s="757"/>
      <c r="I23" s="757"/>
      <c r="J23" s="1634"/>
      <c r="K23" s="1634"/>
      <c r="L23" s="1634"/>
      <c r="M23" s="1634"/>
      <c r="N23" s="1634"/>
    </row>
    <row r="24" spans="1:14" s="576" customFormat="1" ht="24.75" customHeight="1">
      <c r="A24" s="575"/>
      <c r="B24" s="1633"/>
      <c r="C24" s="1633"/>
      <c r="D24" s="1633"/>
      <c r="E24" s="1633"/>
      <c r="F24" s="756"/>
      <c r="G24" s="757"/>
      <c r="H24" s="757"/>
      <c r="I24" s="757"/>
      <c r="J24" s="756"/>
      <c r="K24" s="1633"/>
      <c r="L24" s="1633"/>
      <c r="M24" s="1633"/>
      <c r="N24" s="756"/>
    </row>
    <row r="25" spans="1:14" s="576" customFormat="1" ht="24.75" customHeight="1">
      <c r="A25" s="575"/>
      <c r="B25" s="756"/>
      <c r="C25" s="756"/>
      <c r="D25" s="756"/>
      <c r="E25" s="756"/>
      <c r="F25" s="756"/>
      <c r="G25" s="757"/>
      <c r="H25" s="757"/>
      <c r="I25" s="757"/>
      <c r="J25" s="756"/>
      <c r="K25" s="756"/>
      <c r="L25" s="756"/>
      <c r="M25" s="756"/>
      <c r="N25" s="756"/>
    </row>
    <row r="26" spans="2:14" ht="24.75" customHeight="1">
      <c r="B26" s="758"/>
      <c r="C26" s="758"/>
      <c r="D26" s="758"/>
      <c r="E26" s="758"/>
      <c r="F26" s="758"/>
      <c r="G26" s="758"/>
      <c r="H26" s="758"/>
      <c r="I26" s="758"/>
      <c r="J26" s="758"/>
      <c r="K26" s="758"/>
      <c r="L26" s="758"/>
      <c r="M26" s="758"/>
      <c r="N26" s="758"/>
    </row>
    <row r="27" spans="2:14" ht="24.75" customHeight="1">
      <c r="B27" s="1634" t="str">
        <f>'Thong tin'!B5</f>
        <v>Duy Thị Thúy</v>
      </c>
      <c r="C27" s="1634"/>
      <c r="D27" s="1634"/>
      <c r="E27" s="1634"/>
      <c r="F27" s="758"/>
      <c r="G27" s="758"/>
      <c r="H27" s="758"/>
      <c r="I27" s="758"/>
      <c r="J27" s="1634" t="str">
        <f>'Thong tin'!B6</f>
        <v>Nguyễn Tuyên </v>
      </c>
      <c r="K27" s="1634"/>
      <c r="L27" s="1634"/>
      <c r="M27" s="1634"/>
      <c r="N27" s="1634"/>
    </row>
    <row r="28" spans="2:14" ht="18.75">
      <c r="B28" s="580"/>
      <c r="C28" s="578"/>
      <c r="D28" s="578"/>
      <c r="E28" s="578"/>
      <c r="F28" s="578"/>
      <c r="G28" s="578"/>
      <c r="H28" s="578"/>
      <c r="I28" s="578"/>
      <c r="J28" s="578"/>
      <c r="K28" s="578"/>
      <c r="L28" s="578"/>
      <c r="M28" s="578"/>
      <c r="N28" s="578"/>
    </row>
    <row r="29" spans="7:10" ht="15.75">
      <c r="G29" s="581"/>
      <c r="H29" s="581"/>
      <c r="I29" s="581"/>
      <c r="J29" s="581"/>
    </row>
    <row r="30" spans="7:10" ht="15.75">
      <c r="G30" s="581"/>
      <c r="H30" s="581"/>
      <c r="I30" s="581"/>
      <c r="J30" s="581"/>
    </row>
    <row r="31" spans="7:10" ht="15.75">
      <c r="G31" s="581"/>
      <c r="H31" s="581"/>
      <c r="I31" s="581"/>
      <c r="J31" s="581"/>
    </row>
    <row r="32" spans="7:10" ht="15.75">
      <c r="G32" s="581"/>
      <c r="H32" s="581"/>
      <c r="I32" s="581"/>
      <c r="J32" s="581"/>
    </row>
    <row r="33" spans="7:10" ht="15.75">
      <c r="G33" s="581"/>
      <c r="H33" s="581"/>
      <c r="I33" s="581"/>
      <c r="J33" s="581"/>
    </row>
    <row r="34" spans="7:10" ht="15.75">
      <c r="G34" s="581"/>
      <c r="H34" s="581"/>
      <c r="I34" s="581"/>
      <c r="J34" s="581"/>
    </row>
    <row r="35" spans="7:10" ht="15.75">
      <c r="G35" s="581"/>
      <c r="H35" s="581"/>
      <c r="I35" s="581"/>
      <c r="J35" s="581"/>
    </row>
    <row r="36" spans="7:10" ht="15.75">
      <c r="G36" s="581"/>
      <c r="H36" s="581"/>
      <c r="I36" s="581"/>
      <c r="J36" s="581"/>
    </row>
  </sheetData>
  <sheetProtection/>
  <mergeCells count="33">
    <mergeCell ref="A1:D1"/>
    <mergeCell ref="E1:K2"/>
    <mergeCell ref="A2:D2"/>
    <mergeCell ref="L2:N2"/>
    <mergeCell ref="L3:N3"/>
    <mergeCell ref="A4:D4"/>
    <mergeCell ref="L4:N4"/>
    <mergeCell ref="A3:D3"/>
    <mergeCell ref="E3:J3"/>
    <mergeCell ref="D5:K5"/>
    <mergeCell ref="A6:B9"/>
    <mergeCell ref="C6:F7"/>
    <mergeCell ref="M8:N8"/>
    <mergeCell ref="G7:J7"/>
    <mergeCell ref="K7:N7"/>
    <mergeCell ref="C8:D8"/>
    <mergeCell ref="E8:F8"/>
    <mergeCell ref="G8:H8"/>
    <mergeCell ref="I8:J8"/>
    <mergeCell ref="G6:N6"/>
    <mergeCell ref="A10:B10"/>
    <mergeCell ref="A11:B11"/>
    <mergeCell ref="B21:E21"/>
    <mergeCell ref="J21:N21"/>
    <mergeCell ref="B22:E22"/>
    <mergeCell ref="J22:N22"/>
    <mergeCell ref="B24:E24"/>
    <mergeCell ref="K24:M24"/>
    <mergeCell ref="B27:E27"/>
    <mergeCell ref="J27:N27"/>
    <mergeCell ref="K8:L8"/>
    <mergeCell ref="B23:D23"/>
    <mergeCell ref="J23:N2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29"/>
  <sheetViews>
    <sheetView zoomScaleSheetLayoutView="100" zoomScalePageLayoutView="0" workbookViewId="0" topLeftCell="A16">
      <selection activeCell="K20" sqref="K14:K20"/>
    </sheetView>
  </sheetViews>
  <sheetFormatPr defaultColWidth="9.00390625" defaultRowHeight="15.75"/>
  <cols>
    <col min="1" max="1" width="3.375" style="562" customWidth="1"/>
    <col min="2" max="2" width="24.125" style="562" customWidth="1"/>
    <col min="3" max="3" width="10.25390625" style="562" customWidth="1"/>
    <col min="4" max="6" width="7.875" style="562" customWidth="1"/>
    <col min="7" max="7" width="9.25390625" style="562" customWidth="1"/>
    <col min="8" max="8" width="7.25390625" style="562" customWidth="1"/>
    <col min="9" max="10" width="7.875" style="562" customWidth="1"/>
    <col min="11" max="11" width="7.125" style="562" customWidth="1"/>
    <col min="12" max="12" width="7.00390625" style="562" customWidth="1"/>
    <col min="13" max="13" width="7.875" style="562" customWidth="1"/>
    <col min="14" max="14" width="10.25390625" style="562" customWidth="1"/>
    <col min="15" max="16" width="7.875" style="562" customWidth="1"/>
    <col min="17" max="16384" width="9.00390625" style="562" customWidth="1"/>
  </cols>
  <sheetData>
    <row r="1" spans="1:16" ht="19.5" customHeight="1">
      <c r="A1" s="1650" t="s">
        <v>27</v>
      </c>
      <c r="B1" s="1650"/>
      <c r="C1" s="582"/>
      <c r="D1" s="1684" t="s">
        <v>647</v>
      </c>
      <c r="E1" s="1684"/>
      <c r="F1" s="1684"/>
      <c r="G1" s="1684"/>
      <c r="H1" s="1684"/>
      <c r="I1" s="1684"/>
      <c r="J1" s="1684"/>
      <c r="K1" s="1684"/>
      <c r="L1" s="1684"/>
      <c r="M1" s="1688" t="s">
        <v>398</v>
      </c>
      <c r="N1" s="1689"/>
      <c r="O1" s="1689"/>
      <c r="P1" s="1689"/>
    </row>
    <row r="2" spans="1:16" ht="21" customHeight="1">
      <c r="A2" s="1672" t="s">
        <v>724</v>
      </c>
      <c r="B2" s="1673"/>
      <c r="C2" s="1673"/>
      <c r="D2" s="1684"/>
      <c r="E2" s="1684"/>
      <c r="F2" s="1684"/>
      <c r="G2" s="1684"/>
      <c r="H2" s="1684"/>
      <c r="I2" s="1684"/>
      <c r="J2" s="1684"/>
      <c r="K2" s="1684"/>
      <c r="L2" s="1684"/>
      <c r="M2" s="1674" t="str">
        <f>'Thong tin'!B4</f>
        <v>Cục THADS tỉnh Tuyên Quang</v>
      </c>
      <c r="N2" s="1675"/>
      <c r="O2" s="1675"/>
      <c r="P2" s="1675"/>
    </row>
    <row r="3" spans="1:13" ht="19.5" customHeight="1">
      <c r="A3" s="761" t="s">
        <v>343</v>
      </c>
      <c r="D3" s="1684"/>
      <c r="E3" s="1684"/>
      <c r="F3" s="1684"/>
      <c r="G3" s="1684"/>
      <c r="H3" s="1684"/>
      <c r="I3" s="1684"/>
      <c r="J3" s="1684"/>
      <c r="K3" s="1684"/>
      <c r="L3" s="1684"/>
      <c r="M3" s="761" t="s">
        <v>648</v>
      </c>
    </row>
    <row r="4" spans="1:16" ht="19.5" customHeight="1">
      <c r="A4" s="1686" t="s">
        <v>400</v>
      </c>
      <c r="B4" s="1686"/>
      <c r="C4" s="1686"/>
      <c r="D4" s="1671" t="str">
        <f>'Thong tin'!B3</f>
        <v>06 tháng / năm 2017</v>
      </c>
      <c r="E4" s="1671"/>
      <c r="F4" s="1671"/>
      <c r="G4" s="1671"/>
      <c r="H4" s="1671"/>
      <c r="I4" s="1671"/>
      <c r="J4" s="1671"/>
      <c r="K4" s="1671"/>
      <c r="L4" s="1671"/>
      <c r="M4" s="1670" t="s">
        <v>401</v>
      </c>
      <c r="N4" s="1670"/>
      <c r="O4" s="1670"/>
      <c r="P4" s="1670"/>
    </row>
    <row r="5" spans="1:16" s="585" customFormat="1" ht="18.75" customHeight="1">
      <c r="A5" s="584"/>
      <c r="B5" s="584"/>
      <c r="D5" s="1671"/>
      <c r="E5" s="1671"/>
      <c r="F5" s="1671"/>
      <c r="G5" s="1671"/>
      <c r="H5" s="1671"/>
      <c r="I5" s="1671"/>
      <c r="J5" s="1671"/>
      <c r="K5" s="1671"/>
      <c r="L5" s="1671"/>
      <c r="M5" s="586" t="s">
        <v>402</v>
      </c>
      <c r="N5" s="587"/>
      <c r="O5" s="587"/>
      <c r="P5" s="587"/>
    </row>
    <row r="6" spans="1:16" ht="40.5" customHeight="1">
      <c r="A6" s="1663" t="s">
        <v>71</v>
      </c>
      <c r="B6" s="1664"/>
      <c r="C6" s="1685" t="s">
        <v>99</v>
      </c>
      <c r="D6" s="1668"/>
      <c r="E6" s="1668"/>
      <c r="F6" s="1668"/>
      <c r="G6" s="1668"/>
      <c r="H6" s="1668"/>
      <c r="I6" s="1668"/>
      <c r="J6" s="1668"/>
      <c r="K6" s="1662" t="s">
        <v>98</v>
      </c>
      <c r="L6" s="1662"/>
      <c r="M6" s="1662"/>
      <c r="N6" s="1662"/>
      <c r="O6" s="1662"/>
      <c r="P6" s="1662"/>
    </row>
    <row r="7" spans="1:16" ht="20.25" customHeight="1">
      <c r="A7" s="1665"/>
      <c r="B7" s="1666"/>
      <c r="C7" s="1685" t="s">
        <v>3</v>
      </c>
      <c r="D7" s="1668"/>
      <c r="E7" s="1668"/>
      <c r="F7" s="1669"/>
      <c r="G7" s="1662" t="s">
        <v>10</v>
      </c>
      <c r="H7" s="1662"/>
      <c r="I7" s="1662"/>
      <c r="J7" s="1662"/>
      <c r="K7" s="1687" t="s">
        <v>3</v>
      </c>
      <c r="L7" s="1687"/>
      <c r="M7" s="1687"/>
      <c r="N7" s="1690" t="s">
        <v>10</v>
      </c>
      <c r="O7" s="1690"/>
      <c r="P7" s="1690"/>
    </row>
    <row r="8" spans="1:16" ht="30.75" customHeight="1">
      <c r="A8" s="1665"/>
      <c r="B8" s="1666"/>
      <c r="C8" s="1667" t="s">
        <v>403</v>
      </c>
      <c r="D8" s="1668" t="s">
        <v>95</v>
      </c>
      <c r="E8" s="1668"/>
      <c r="F8" s="1669"/>
      <c r="G8" s="1662" t="s">
        <v>404</v>
      </c>
      <c r="H8" s="1662" t="s">
        <v>95</v>
      </c>
      <c r="I8" s="1662"/>
      <c r="J8" s="1662"/>
      <c r="K8" s="1662" t="s">
        <v>38</v>
      </c>
      <c r="L8" s="1662" t="s">
        <v>96</v>
      </c>
      <c r="M8" s="1662"/>
      <c r="N8" s="1662" t="s">
        <v>79</v>
      </c>
      <c r="O8" s="1662" t="s">
        <v>96</v>
      </c>
      <c r="P8" s="1662"/>
    </row>
    <row r="9" spans="1:16" ht="49.5" customHeight="1">
      <c r="A9" s="1665"/>
      <c r="B9" s="1666"/>
      <c r="C9" s="1667"/>
      <c r="D9" s="763" t="s">
        <v>43</v>
      </c>
      <c r="E9" s="763" t="s">
        <v>44</v>
      </c>
      <c r="F9" s="763" t="s">
        <v>47</v>
      </c>
      <c r="G9" s="1662"/>
      <c r="H9" s="763" t="s">
        <v>43</v>
      </c>
      <c r="I9" s="763" t="s">
        <v>44</v>
      </c>
      <c r="J9" s="763" t="s">
        <v>47</v>
      </c>
      <c r="K9" s="1662"/>
      <c r="L9" s="763" t="s">
        <v>15</v>
      </c>
      <c r="M9" s="763" t="s">
        <v>14</v>
      </c>
      <c r="N9" s="1662"/>
      <c r="O9" s="763" t="s">
        <v>15</v>
      </c>
      <c r="P9" s="763" t="s">
        <v>14</v>
      </c>
    </row>
    <row r="10" spans="1:16" ht="15" customHeight="1">
      <c r="A10" s="1677" t="s">
        <v>6</v>
      </c>
      <c r="B10" s="1678"/>
      <c r="C10" s="588">
        <v>1</v>
      </c>
      <c r="D10" s="588" t="s">
        <v>52</v>
      </c>
      <c r="E10" s="588" t="s">
        <v>57</v>
      </c>
      <c r="F10" s="588" t="s">
        <v>72</v>
      </c>
      <c r="G10" s="588" t="s">
        <v>73</v>
      </c>
      <c r="H10" s="588" t="s">
        <v>74</v>
      </c>
      <c r="I10" s="588" t="s">
        <v>75</v>
      </c>
      <c r="J10" s="588" t="s">
        <v>76</v>
      </c>
      <c r="K10" s="588" t="s">
        <v>77</v>
      </c>
      <c r="L10" s="588" t="s">
        <v>100</v>
      </c>
      <c r="M10" s="588" t="s">
        <v>101</v>
      </c>
      <c r="N10" s="588" t="s">
        <v>102</v>
      </c>
      <c r="O10" s="588" t="s">
        <v>103</v>
      </c>
      <c r="P10" s="588" t="s">
        <v>104</v>
      </c>
    </row>
    <row r="11" spans="1:16" ht="15" customHeight="1">
      <c r="A11" s="1679" t="s">
        <v>40</v>
      </c>
      <c r="B11" s="1680"/>
      <c r="C11" s="870">
        <f>SUM(C12:C13)</f>
        <v>1</v>
      </c>
      <c r="D11" s="870">
        <f>SUM(D12:D13)</f>
        <v>1</v>
      </c>
      <c r="E11" s="870">
        <f>SUM(E12:E13)</f>
        <v>0</v>
      </c>
      <c r="F11" s="870">
        <f>SUM(F12:F13)</f>
        <v>0</v>
      </c>
      <c r="G11" s="870">
        <f>G12+G13</f>
        <v>250</v>
      </c>
      <c r="H11" s="870">
        <f>H12+H13</f>
        <v>250</v>
      </c>
      <c r="I11" s="870">
        <f>I12+I13</f>
        <v>0</v>
      </c>
      <c r="J11" s="870">
        <f>J12+J13</f>
        <v>0</v>
      </c>
      <c r="K11" s="870">
        <f aca="true" t="shared" si="0" ref="K11:P11">SUM(K12:K13)</f>
        <v>1</v>
      </c>
      <c r="L11" s="870">
        <f t="shared" si="0"/>
        <v>0</v>
      </c>
      <c r="M11" s="870">
        <f t="shared" si="0"/>
        <v>1</v>
      </c>
      <c r="N11" s="870">
        <f t="shared" si="0"/>
        <v>120000</v>
      </c>
      <c r="O11" s="870">
        <f t="shared" si="0"/>
        <v>0</v>
      </c>
      <c r="P11" s="870">
        <f t="shared" si="0"/>
        <v>120000</v>
      </c>
    </row>
    <row r="12" spans="1:16" ht="15" customHeight="1">
      <c r="A12" s="589" t="s">
        <v>0</v>
      </c>
      <c r="B12" s="590" t="s">
        <v>97</v>
      </c>
      <c r="C12" s="871">
        <f>SUM(D12:F12)</f>
        <v>0</v>
      </c>
      <c r="D12" s="872"/>
      <c r="E12" s="872"/>
      <c r="F12" s="872"/>
      <c r="G12" s="872">
        <f>SUM(H12:J12)</f>
        <v>0</v>
      </c>
      <c r="H12" s="872"/>
      <c r="I12" s="872"/>
      <c r="J12" s="872"/>
      <c r="K12" s="872">
        <f>SUM(L12:M12)</f>
        <v>0</v>
      </c>
      <c r="L12" s="872"/>
      <c r="M12" s="872"/>
      <c r="N12" s="872"/>
      <c r="O12" s="871"/>
      <c r="P12" s="871"/>
    </row>
    <row r="13" spans="1:16" ht="15" customHeight="1">
      <c r="A13" s="591" t="s">
        <v>1</v>
      </c>
      <c r="B13" s="590" t="s">
        <v>18</v>
      </c>
      <c r="C13" s="877">
        <f aca="true" t="shared" si="1" ref="C13:P13">SUM(C14:C20)</f>
        <v>1</v>
      </c>
      <c r="D13" s="877">
        <f t="shared" si="1"/>
        <v>1</v>
      </c>
      <c r="E13" s="877">
        <f t="shared" si="1"/>
        <v>0</v>
      </c>
      <c r="F13" s="877">
        <f t="shared" si="1"/>
        <v>0</v>
      </c>
      <c r="G13" s="877">
        <f t="shared" si="1"/>
        <v>250</v>
      </c>
      <c r="H13" s="877">
        <f t="shared" si="1"/>
        <v>250</v>
      </c>
      <c r="I13" s="877">
        <f t="shared" si="1"/>
        <v>0</v>
      </c>
      <c r="J13" s="877">
        <f t="shared" si="1"/>
        <v>0</v>
      </c>
      <c r="K13" s="877">
        <f t="shared" si="1"/>
        <v>1</v>
      </c>
      <c r="L13" s="877">
        <f t="shared" si="1"/>
        <v>0</v>
      </c>
      <c r="M13" s="877">
        <f t="shared" si="1"/>
        <v>1</v>
      </c>
      <c r="N13" s="877">
        <f t="shared" si="1"/>
        <v>120000</v>
      </c>
      <c r="O13" s="877">
        <f t="shared" si="1"/>
        <v>0</v>
      </c>
      <c r="P13" s="877">
        <f t="shared" si="1"/>
        <v>120000</v>
      </c>
    </row>
    <row r="14" spans="1:16" ht="17.25" customHeight="1">
      <c r="A14" s="592" t="s">
        <v>51</v>
      </c>
      <c r="B14" s="837" t="s">
        <v>714</v>
      </c>
      <c r="C14" s="871">
        <f aca="true" t="shared" si="2" ref="C14:C20">SUM(D14:F14)</f>
        <v>0</v>
      </c>
      <c r="D14" s="870"/>
      <c r="E14" s="870"/>
      <c r="F14" s="870"/>
      <c r="G14" s="870">
        <f>H14+I14+J14</f>
        <v>0</v>
      </c>
      <c r="H14" s="872"/>
      <c r="I14" s="870"/>
      <c r="J14" s="873"/>
      <c r="K14" s="872">
        <f aca="true" t="shared" si="3" ref="K14:K19">SUM(L14:M14)</f>
        <v>0</v>
      </c>
      <c r="L14" s="870"/>
      <c r="M14" s="870"/>
      <c r="N14" s="872"/>
      <c r="O14" s="871"/>
      <c r="P14" s="871"/>
    </row>
    <row r="15" spans="1:16" ht="17.25" customHeight="1">
      <c r="A15" s="592" t="s">
        <v>52</v>
      </c>
      <c r="B15" s="837" t="s">
        <v>715</v>
      </c>
      <c r="C15" s="871">
        <f t="shared" si="2"/>
        <v>0</v>
      </c>
      <c r="D15" s="872"/>
      <c r="E15" s="872"/>
      <c r="F15" s="872"/>
      <c r="G15" s="870">
        <f aca="true" t="shared" si="4" ref="G15:G20">H15+I15+J15</f>
        <v>0</v>
      </c>
      <c r="H15" s="872"/>
      <c r="I15" s="872"/>
      <c r="J15" s="872"/>
      <c r="K15" s="872">
        <f t="shared" si="3"/>
        <v>1</v>
      </c>
      <c r="L15" s="897"/>
      <c r="M15" s="872">
        <v>1</v>
      </c>
      <c r="N15" s="872">
        <v>120000</v>
      </c>
      <c r="O15" s="871"/>
      <c r="P15" s="872">
        <v>120000</v>
      </c>
    </row>
    <row r="16" spans="1:16" ht="17.25" customHeight="1">
      <c r="A16" s="592" t="s">
        <v>57</v>
      </c>
      <c r="B16" s="837" t="s">
        <v>716</v>
      </c>
      <c r="C16" s="871">
        <f t="shared" si="2"/>
        <v>0</v>
      </c>
      <c r="D16" s="872"/>
      <c r="E16" s="872"/>
      <c r="F16" s="872"/>
      <c r="G16" s="870">
        <f t="shared" si="4"/>
        <v>0</v>
      </c>
      <c r="H16" s="872"/>
      <c r="I16" s="872"/>
      <c r="J16" s="872"/>
      <c r="K16" s="872">
        <f t="shared" si="3"/>
        <v>0</v>
      </c>
      <c r="L16" s="897"/>
      <c r="M16" s="897"/>
      <c r="N16" s="897"/>
      <c r="O16" s="896"/>
      <c r="P16" s="896"/>
    </row>
    <row r="17" spans="1:16" ht="17.25" customHeight="1">
      <c r="A17" s="592" t="s">
        <v>72</v>
      </c>
      <c r="B17" s="837" t="s">
        <v>717</v>
      </c>
      <c r="C17" s="871">
        <f t="shared" si="2"/>
        <v>1</v>
      </c>
      <c r="D17" s="872">
        <v>1</v>
      </c>
      <c r="E17" s="872"/>
      <c r="F17" s="872"/>
      <c r="G17" s="870">
        <f t="shared" si="4"/>
        <v>250</v>
      </c>
      <c r="H17" s="872">
        <v>250</v>
      </c>
      <c r="I17" s="872"/>
      <c r="J17" s="872"/>
      <c r="K17" s="872">
        <f t="shared" si="3"/>
        <v>0</v>
      </c>
      <c r="L17" s="897"/>
      <c r="M17" s="897"/>
      <c r="N17" s="897"/>
      <c r="O17" s="896"/>
      <c r="P17" s="896"/>
    </row>
    <row r="18" spans="1:16" ht="17.25" customHeight="1">
      <c r="A18" s="592" t="s">
        <v>73</v>
      </c>
      <c r="B18" s="837" t="s">
        <v>718</v>
      </c>
      <c r="C18" s="871">
        <f t="shared" si="2"/>
        <v>0</v>
      </c>
      <c r="D18" s="872"/>
      <c r="E18" s="872"/>
      <c r="F18" s="872"/>
      <c r="G18" s="870">
        <f t="shared" si="4"/>
        <v>0</v>
      </c>
      <c r="H18" s="872"/>
      <c r="I18" s="872"/>
      <c r="J18" s="872"/>
      <c r="K18" s="872">
        <f t="shared" si="3"/>
        <v>0</v>
      </c>
      <c r="L18" s="897"/>
      <c r="M18" s="897"/>
      <c r="N18" s="897"/>
      <c r="O18" s="896"/>
      <c r="P18" s="896"/>
    </row>
    <row r="19" spans="1:16" ht="17.25" customHeight="1">
      <c r="A19" s="592" t="s">
        <v>74</v>
      </c>
      <c r="B19" s="837" t="s">
        <v>719</v>
      </c>
      <c r="C19" s="871">
        <f t="shared" si="2"/>
        <v>0</v>
      </c>
      <c r="D19" s="872"/>
      <c r="E19" s="872"/>
      <c r="F19" s="872"/>
      <c r="G19" s="870">
        <f t="shared" si="4"/>
        <v>0</v>
      </c>
      <c r="H19" s="872"/>
      <c r="I19" s="872"/>
      <c r="J19" s="872"/>
      <c r="K19" s="872">
        <f t="shared" si="3"/>
        <v>0</v>
      </c>
      <c r="L19" s="897"/>
      <c r="M19" s="897"/>
      <c r="N19" s="897"/>
      <c r="O19" s="896"/>
      <c r="P19" s="896"/>
    </row>
    <row r="20" spans="1:16" ht="17.25" customHeight="1">
      <c r="A20" s="592" t="s">
        <v>75</v>
      </c>
      <c r="B20" s="837" t="s">
        <v>720</v>
      </c>
      <c r="C20" s="871">
        <f t="shared" si="2"/>
        <v>0</v>
      </c>
      <c r="D20" s="871"/>
      <c r="E20" s="871"/>
      <c r="F20" s="871"/>
      <c r="G20" s="870">
        <f t="shared" si="4"/>
        <v>0</v>
      </c>
      <c r="H20" s="871"/>
      <c r="I20" s="871"/>
      <c r="J20" s="871"/>
      <c r="K20" s="872">
        <f>SUM(L20:M20)</f>
        <v>0</v>
      </c>
      <c r="L20" s="896"/>
      <c r="M20" s="896"/>
      <c r="N20" s="897"/>
      <c r="O20" s="896"/>
      <c r="P20" s="896"/>
    </row>
    <row r="21" spans="1:16" ht="25.5" customHeight="1">
      <c r="A21" s="593"/>
      <c r="B21" s="594"/>
      <c r="C21" s="595"/>
      <c r="D21" s="595"/>
      <c r="E21" s="595"/>
      <c r="F21" s="595"/>
      <c r="G21" s="595"/>
      <c r="H21" s="595"/>
      <c r="I21" s="595"/>
      <c r="J21" s="595"/>
      <c r="K21" s="1683" t="str">
        <f>'Thong tin'!B8</f>
        <v>Tuyên Quang, ngày 05 tháng 04 năm 2017</v>
      </c>
      <c r="L21" s="1683"/>
      <c r="M21" s="1683"/>
      <c r="N21" s="1683"/>
      <c r="O21" s="1683"/>
      <c r="P21" s="1683"/>
    </row>
    <row r="22" spans="2:16" ht="21.75" customHeight="1">
      <c r="B22" s="1659" t="s">
        <v>4</v>
      </c>
      <c r="C22" s="1659"/>
      <c r="D22" s="1659"/>
      <c r="E22" s="759"/>
      <c r="F22" s="596"/>
      <c r="G22" s="596"/>
      <c r="H22" s="596"/>
      <c r="I22" s="596"/>
      <c r="J22" s="596"/>
      <c r="L22" s="1681" t="str">
        <f>'Thong tin'!B7</f>
        <v>CỤC TRƯỞNG</v>
      </c>
      <c r="M22" s="1682"/>
      <c r="N22" s="1682"/>
      <c r="O22" s="1682"/>
      <c r="P22" s="596"/>
    </row>
    <row r="23" spans="2:16" ht="21" customHeight="1">
      <c r="B23" s="759"/>
      <c r="C23" s="759"/>
      <c r="D23" s="759"/>
      <c r="E23" s="759"/>
      <c r="F23" s="596"/>
      <c r="G23" s="596"/>
      <c r="H23" s="596"/>
      <c r="I23" s="596"/>
      <c r="J23" s="596"/>
      <c r="K23" s="596"/>
      <c r="L23" s="596"/>
      <c r="M23" s="596"/>
      <c r="N23" s="596"/>
      <c r="O23" s="596"/>
      <c r="P23" s="596"/>
    </row>
    <row r="24" ht="11.25" customHeight="1"/>
    <row r="25" spans="2:16" ht="16.5" customHeight="1">
      <c r="B25" s="1661"/>
      <c r="C25" s="1661"/>
      <c r="D25" s="1661"/>
      <c r="K25" s="1676"/>
      <c r="L25" s="1676"/>
      <c r="M25" s="1676"/>
      <c r="N25" s="1676"/>
      <c r="O25" s="1676"/>
      <c r="P25" s="1676"/>
    </row>
    <row r="26" ht="12.75" customHeight="1"/>
    <row r="27" spans="2:15" ht="15.75">
      <c r="B27" s="1660" t="str">
        <f>'Thong tin'!B5</f>
        <v>Duy Thị Thúy</v>
      </c>
      <c r="C27" s="1660"/>
      <c r="D27" s="1660"/>
      <c r="E27" s="760"/>
      <c r="L27" s="1658" t="str">
        <f>'Thong tin'!B6</f>
        <v>Nguyễn Tuyên </v>
      </c>
      <c r="M27" s="1658"/>
      <c r="N27" s="1658"/>
      <c r="O27" s="1658"/>
    </row>
    <row r="29" spans="12:16" ht="15.75">
      <c r="L29" s="603"/>
      <c r="M29" s="603"/>
      <c r="N29" s="603"/>
      <c r="O29" s="603"/>
      <c r="P29" s="603"/>
    </row>
  </sheetData>
  <sheetProtection/>
  <mergeCells count="33">
    <mergeCell ref="A1:B1"/>
    <mergeCell ref="D1:L3"/>
    <mergeCell ref="C7:F7"/>
    <mergeCell ref="A4:C4"/>
    <mergeCell ref="K7:M7"/>
    <mergeCell ref="K8:K9"/>
    <mergeCell ref="L8:M8"/>
    <mergeCell ref="M1:P1"/>
    <mergeCell ref="C6:J6"/>
    <mergeCell ref="N7:P7"/>
    <mergeCell ref="N8:N9"/>
    <mergeCell ref="K25:P25"/>
    <mergeCell ref="A10:B10"/>
    <mergeCell ref="A11:B11"/>
    <mergeCell ref="L22:O22"/>
    <mergeCell ref="K21:P21"/>
    <mergeCell ref="M4:P4"/>
    <mergeCell ref="D4:L4"/>
    <mergeCell ref="D5:L5"/>
    <mergeCell ref="G7:J7"/>
    <mergeCell ref="A2:C2"/>
    <mergeCell ref="M2:P2"/>
    <mergeCell ref="K6:P6"/>
    <mergeCell ref="L27:O27"/>
    <mergeCell ref="B22:D22"/>
    <mergeCell ref="B27:D27"/>
    <mergeCell ref="B25:D25"/>
    <mergeCell ref="G8:G9"/>
    <mergeCell ref="H8:J8"/>
    <mergeCell ref="O8:P8"/>
    <mergeCell ref="A6:B9"/>
    <mergeCell ref="C8:C9"/>
    <mergeCell ref="D8:F8"/>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5"/>
  <sheetViews>
    <sheetView zoomScaleSheetLayoutView="100" zoomScalePageLayoutView="0" workbookViewId="0" topLeftCell="A7">
      <selection activeCell="F19" sqref="F19"/>
    </sheetView>
  </sheetViews>
  <sheetFormatPr defaultColWidth="9.00390625" defaultRowHeight="15.75"/>
  <cols>
    <col min="1" max="1" width="4.625" style="562" customWidth="1"/>
    <col min="2" max="2" width="24.75390625" style="562" customWidth="1"/>
    <col min="3" max="3" width="10.25390625" style="562" customWidth="1"/>
    <col min="4" max="4" width="11.375" style="562" customWidth="1"/>
    <col min="5" max="5" width="12.25390625" style="562" customWidth="1"/>
    <col min="6" max="6" width="10.25390625" style="562" customWidth="1"/>
    <col min="7" max="7" width="11.75390625" style="562" customWidth="1"/>
    <col min="8" max="8" width="11.125" style="562" customWidth="1"/>
    <col min="9" max="9" width="10.25390625" style="562" customWidth="1"/>
    <col min="10" max="10" width="10.75390625" style="562" customWidth="1"/>
    <col min="11" max="11" width="9.25390625" style="562" customWidth="1"/>
    <col min="12" max="13" width="10.25390625" style="562" customWidth="1"/>
    <col min="14" max="16384" width="9.00390625" style="562" customWidth="1"/>
  </cols>
  <sheetData>
    <row r="1" spans="1:13" ht="22.5" customHeight="1">
      <c r="A1" s="1650" t="s">
        <v>116</v>
      </c>
      <c r="B1" s="1650"/>
      <c r="C1" s="1650"/>
      <c r="D1" s="1709" t="s">
        <v>655</v>
      </c>
      <c r="E1" s="1709"/>
      <c r="F1" s="1709"/>
      <c r="G1" s="1709"/>
      <c r="H1" s="1709"/>
      <c r="I1" s="1709"/>
      <c r="J1" s="1705" t="s">
        <v>649</v>
      </c>
      <c r="K1" s="1703"/>
      <c r="L1" s="1703"/>
      <c r="M1" s="865"/>
    </row>
    <row r="2" spans="1:13" ht="29.25" customHeight="1">
      <c r="A2" s="1706" t="s">
        <v>725</v>
      </c>
      <c r="B2" s="1706"/>
      <c r="C2" s="1706"/>
      <c r="D2" s="1709"/>
      <c r="E2" s="1709"/>
      <c r="F2" s="1709"/>
      <c r="G2" s="1709"/>
      <c r="H2" s="1709"/>
      <c r="I2" s="1709"/>
      <c r="J2" s="1707" t="str">
        <f>'Thong tin'!B4</f>
        <v>Cục THADS tỉnh Tuyên Quang</v>
      </c>
      <c r="K2" s="1707"/>
      <c r="L2" s="1707"/>
      <c r="M2" s="866"/>
    </row>
    <row r="3" spans="1:13" ht="15.75" customHeight="1">
      <c r="A3" s="1652" t="s">
        <v>343</v>
      </c>
      <c r="B3" s="1652"/>
      <c r="C3" s="1652"/>
      <c r="D3" s="1710" t="str">
        <f>'Thong tin'!B3</f>
        <v>06 tháng / năm 2017</v>
      </c>
      <c r="E3" s="1710"/>
      <c r="F3" s="1710"/>
      <c r="G3" s="1710"/>
      <c r="H3" s="1710"/>
      <c r="I3" s="1710"/>
      <c r="J3" s="1708" t="s">
        <v>464</v>
      </c>
      <c r="K3" s="1708"/>
      <c r="L3" s="1708"/>
      <c r="M3" s="867"/>
    </row>
    <row r="4" spans="1:13" ht="15.75" customHeight="1">
      <c r="A4" s="1686" t="s">
        <v>362</v>
      </c>
      <c r="B4" s="1686"/>
      <c r="C4" s="1686"/>
      <c r="D4" s="1661"/>
      <c r="E4" s="1661"/>
      <c r="F4" s="1661"/>
      <c r="G4" s="1661"/>
      <c r="H4" s="1661"/>
      <c r="I4" s="1661"/>
      <c r="J4" s="1703" t="s">
        <v>410</v>
      </c>
      <c r="K4" s="1703"/>
      <c r="L4" s="1703"/>
      <c r="M4" s="865"/>
    </row>
    <row r="5" spans="1:13" ht="15.75">
      <c r="A5" s="583"/>
      <c r="B5" s="583"/>
      <c r="C5" s="563"/>
      <c r="D5" s="563"/>
      <c r="E5" s="563"/>
      <c r="F5" s="563"/>
      <c r="G5" s="563"/>
      <c r="H5" s="563"/>
      <c r="I5" s="563"/>
      <c r="J5" s="1704" t="s">
        <v>8</v>
      </c>
      <c r="K5" s="1704"/>
      <c r="L5" s="1704"/>
      <c r="M5" s="861"/>
    </row>
    <row r="6" spans="1:13" ht="15.75" customHeight="1">
      <c r="A6" s="1701" t="s">
        <v>71</v>
      </c>
      <c r="B6" s="1701"/>
      <c r="C6" s="1662" t="s">
        <v>656</v>
      </c>
      <c r="D6" s="1690" t="s">
        <v>412</v>
      </c>
      <c r="E6" s="1690"/>
      <c r="F6" s="1690"/>
      <c r="G6" s="1690"/>
      <c r="H6" s="1690"/>
      <c r="I6" s="1690"/>
      <c r="J6" s="1701" t="s">
        <v>114</v>
      </c>
      <c r="K6" s="1701"/>
      <c r="L6" s="1701"/>
      <c r="M6" s="874"/>
    </row>
    <row r="7" spans="1:13" ht="15.75" customHeight="1">
      <c r="A7" s="1701"/>
      <c r="B7" s="1701"/>
      <c r="C7" s="1662"/>
      <c r="D7" s="1702" t="s">
        <v>7</v>
      </c>
      <c r="E7" s="1702"/>
      <c r="F7" s="1702"/>
      <c r="G7" s="1702"/>
      <c r="H7" s="1702"/>
      <c r="I7" s="1702"/>
      <c r="J7" s="1662" t="s">
        <v>16</v>
      </c>
      <c r="K7" s="1662" t="s">
        <v>650</v>
      </c>
      <c r="L7" s="1662" t="s">
        <v>651</v>
      </c>
      <c r="M7" s="1667" t="s">
        <v>731</v>
      </c>
    </row>
    <row r="8" spans="1:13" ht="18.75" customHeight="1">
      <c r="A8" s="1701"/>
      <c r="B8" s="1701"/>
      <c r="C8" s="1662"/>
      <c r="D8" s="1701" t="s">
        <v>112</v>
      </c>
      <c r="E8" s="1701" t="s">
        <v>113</v>
      </c>
      <c r="F8" s="1701"/>
      <c r="G8" s="1701"/>
      <c r="H8" s="1701"/>
      <c r="I8" s="1701"/>
      <c r="J8" s="1662"/>
      <c r="K8" s="1662"/>
      <c r="L8" s="1662"/>
      <c r="M8" s="1691"/>
    </row>
    <row r="9" spans="1:13" ht="60.75" customHeight="1">
      <c r="A9" s="1701"/>
      <c r="B9" s="1701"/>
      <c r="C9" s="1662"/>
      <c r="D9" s="1701"/>
      <c r="E9" s="762" t="s">
        <v>115</v>
      </c>
      <c r="F9" s="763" t="s">
        <v>654</v>
      </c>
      <c r="G9" s="763" t="s">
        <v>653</v>
      </c>
      <c r="H9" s="763" t="s">
        <v>652</v>
      </c>
      <c r="I9" s="763" t="s">
        <v>24</v>
      </c>
      <c r="J9" s="1662"/>
      <c r="K9" s="1662"/>
      <c r="L9" s="1662"/>
      <c r="M9" s="1692"/>
    </row>
    <row r="10" spans="1:13" ht="13.5" customHeight="1">
      <c r="A10" s="1695" t="s">
        <v>5</v>
      </c>
      <c r="B10" s="1695"/>
      <c r="C10" s="597">
        <v>1</v>
      </c>
      <c r="D10" s="597" t="s">
        <v>52</v>
      </c>
      <c r="E10" s="597" t="s">
        <v>57</v>
      </c>
      <c r="F10" s="597" t="s">
        <v>72</v>
      </c>
      <c r="G10" s="597" t="s">
        <v>73</v>
      </c>
      <c r="H10" s="597" t="s">
        <v>74</v>
      </c>
      <c r="I10" s="597" t="s">
        <v>75</v>
      </c>
      <c r="J10" s="597" t="s">
        <v>76</v>
      </c>
      <c r="K10" s="597" t="s">
        <v>77</v>
      </c>
      <c r="L10" s="597" t="s">
        <v>100</v>
      </c>
      <c r="M10" s="597" t="s">
        <v>101</v>
      </c>
    </row>
    <row r="11" spans="1:13" s="569" customFormat="1" ht="16.5" customHeight="1">
      <c r="A11" s="1696" t="s">
        <v>36</v>
      </c>
      <c r="B11" s="1696"/>
      <c r="C11" s="876">
        <f>C12+C13</f>
        <v>30</v>
      </c>
      <c r="D11" s="876">
        <f aca="true" t="shared" si="0" ref="D11:L11">D12+D13</f>
        <v>17</v>
      </c>
      <c r="E11" s="876">
        <f t="shared" si="0"/>
        <v>13</v>
      </c>
      <c r="F11" s="876">
        <f t="shared" si="0"/>
        <v>0</v>
      </c>
      <c r="G11" s="876">
        <f t="shared" si="0"/>
        <v>0</v>
      </c>
      <c r="H11" s="876">
        <f t="shared" si="0"/>
        <v>13</v>
      </c>
      <c r="I11" s="876">
        <f t="shared" si="0"/>
        <v>0</v>
      </c>
      <c r="J11" s="876">
        <f t="shared" si="0"/>
        <v>4</v>
      </c>
      <c r="K11" s="876">
        <f t="shared" si="0"/>
        <v>20</v>
      </c>
      <c r="L11" s="876">
        <f t="shared" si="0"/>
        <v>0</v>
      </c>
      <c r="M11" s="876">
        <f>M12+M13+M14+M15+M16+M17+M18+M19+M20</f>
        <v>6</v>
      </c>
    </row>
    <row r="12" spans="1:13" s="569" customFormat="1" ht="24" customHeight="1">
      <c r="A12" s="570" t="s">
        <v>0</v>
      </c>
      <c r="B12" s="571" t="s">
        <v>97</v>
      </c>
      <c r="C12" s="877">
        <f>D12+E12</f>
        <v>0</v>
      </c>
      <c r="D12" s="877"/>
      <c r="E12" s="877">
        <f>F12+G12+H12+I12</f>
        <v>0</v>
      </c>
      <c r="F12" s="877"/>
      <c r="G12" s="877"/>
      <c r="H12" s="877"/>
      <c r="I12" s="877"/>
      <c r="J12" s="877"/>
      <c r="K12" s="877"/>
      <c r="L12" s="877"/>
      <c r="M12" s="877"/>
    </row>
    <row r="13" spans="1:13" s="569" customFormat="1" ht="24" customHeight="1">
      <c r="A13" s="570" t="s">
        <v>1</v>
      </c>
      <c r="B13" s="571" t="s">
        <v>18</v>
      </c>
      <c r="C13" s="877">
        <f>SUM(C14:C20)</f>
        <v>30</v>
      </c>
      <c r="D13" s="877">
        <f aca="true" t="shared" si="1" ref="D13:L13">SUM(D14:D20)</f>
        <v>17</v>
      </c>
      <c r="E13" s="877">
        <f t="shared" si="1"/>
        <v>13</v>
      </c>
      <c r="F13" s="877">
        <f t="shared" si="1"/>
        <v>0</v>
      </c>
      <c r="G13" s="877">
        <f t="shared" si="1"/>
        <v>0</v>
      </c>
      <c r="H13" s="877">
        <f t="shared" si="1"/>
        <v>13</v>
      </c>
      <c r="I13" s="877">
        <f t="shared" si="1"/>
        <v>0</v>
      </c>
      <c r="J13" s="877">
        <f t="shared" si="1"/>
        <v>4</v>
      </c>
      <c r="K13" s="877">
        <f t="shared" si="1"/>
        <v>20</v>
      </c>
      <c r="L13" s="877">
        <f t="shared" si="1"/>
        <v>0</v>
      </c>
      <c r="M13" s="877"/>
    </row>
    <row r="14" spans="1:13" s="569" customFormat="1" ht="24" customHeight="1">
      <c r="A14" s="573" t="s">
        <v>51</v>
      </c>
      <c r="B14" s="837" t="s">
        <v>714</v>
      </c>
      <c r="C14" s="999">
        <f>D14+E14</f>
        <v>3</v>
      </c>
      <c r="D14" s="999">
        <v>3</v>
      </c>
      <c r="E14" s="999">
        <f aca="true" t="shared" si="2" ref="E14:E20">F14+G14+H14+I14</f>
        <v>0</v>
      </c>
      <c r="F14" s="999"/>
      <c r="G14" s="999"/>
      <c r="H14" s="999"/>
      <c r="I14" s="999"/>
      <c r="J14" s="999"/>
      <c r="K14" s="999">
        <v>3</v>
      </c>
      <c r="L14" s="999"/>
      <c r="M14" s="999"/>
    </row>
    <row r="15" spans="1:13" s="569" customFormat="1" ht="24" customHeight="1">
      <c r="A15" s="573" t="s">
        <v>52</v>
      </c>
      <c r="B15" s="837" t="s">
        <v>715</v>
      </c>
      <c r="C15" s="999">
        <f aca="true" t="shared" si="3" ref="C15:C20">D15+E15</f>
        <v>5</v>
      </c>
      <c r="D15" s="999"/>
      <c r="E15" s="999">
        <f t="shared" si="2"/>
        <v>5</v>
      </c>
      <c r="F15" s="999"/>
      <c r="G15" s="999"/>
      <c r="H15" s="999">
        <v>5</v>
      </c>
      <c r="I15" s="999"/>
      <c r="J15" s="999"/>
      <c r="K15" s="999">
        <v>5</v>
      </c>
      <c r="L15" s="999"/>
      <c r="M15" s="999"/>
    </row>
    <row r="16" spans="1:13" s="569" customFormat="1" ht="24" customHeight="1">
      <c r="A16" s="573" t="s">
        <v>57</v>
      </c>
      <c r="B16" s="837" t="s">
        <v>716</v>
      </c>
      <c r="C16" s="999">
        <f t="shared" si="3"/>
        <v>17</v>
      </c>
      <c r="D16" s="999">
        <v>9</v>
      </c>
      <c r="E16" s="999">
        <f t="shared" si="2"/>
        <v>8</v>
      </c>
      <c r="F16" s="999"/>
      <c r="G16" s="999"/>
      <c r="H16" s="999">
        <v>8</v>
      </c>
      <c r="I16" s="999"/>
      <c r="J16" s="999">
        <v>1</v>
      </c>
      <c r="K16" s="999">
        <v>12</v>
      </c>
      <c r="L16" s="999"/>
      <c r="M16" s="999">
        <v>4</v>
      </c>
    </row>
    <row r="17" spans="1:13" s="569" customFormat="1" ht="24" customHeight="1">
      <c r="A17" s="573" t="s">
        <v>72</v>
      </c>
      <c r="B17" s="837" t="s">
        <v>717</v>
      </c>
      <c r="C17" s="999">
        <f t="shared" si="3"/>
        <v>5</v>
      </c>
      <c r="D17" s="999">
        <v>5</v>
      </c>
      <c r="E17" s="999">
        <f t="shared" si="2"/>
        <v>0</v>
      </c>
      <c r="F17" s="999"/>
      <c r="G17" s="999"/>
      <c r="H17" s="999"/>
      <c r="I17" s="999"/>
      <c r="J17" s="999">
        <v>3</v>
      </c>
      <c r="K17" s="999"/>
      <c r="L17" s="999"/>
      <c r="M17" s="999">
        <v>2</v>
      </c>
    </row>
    <row r="18" spans="1:13" s="569" customFormat="1" ht="24" customHeight="1">
      <c r="A18" s="573" t="s">
        <v>73</v>
      </c>
      <c r="B18" s="837" t="s">
        <v>718</v>
      </c>
      <c r="C18" s="999">
        <f t="shared" si="3"/>
        <v>0</v>
      </c>
      <c r="D18" s="999"/>
      <c r="E18" s="999">
        <f t="shared" si="2"/>
        <v>0</v>
      </c>
      <c r="F18" s="999"/>
      <c r="G18" s="999"/>
      <c r="H18" s="999"/>
      <c r="I18" s="999"/>
      <c r="J18" s="999"/>
      <c r="K18" s="999"/>
      <c r="L18" s="999"/>
      <c r="M18" s="999"/>
    </row>
    <row r="19" spans="1:13" s="569" customFormat="1" ht="24" customHeight="1">
      <c r="A19" s="573" t="s">
        <v>74</v>
      </c>
      <c r="B19" s="837" t="s">
        <v>719</v>
      </c>
      <c r="C19" s="999">
        <f t="shared" si="3"/>
        <v>0</v>
      </c>
      <c r="D19" s="999"/>
      <c r="E19" s="999">
        <f t="shared" si="2"/>
        <v>0</v>
      </c>
      <c r="F19" s="999"/>
      <c r="G19" s="999"/>
      <c r="H19" s="999"/>
      <c r="I19" s="999"/>
      <c r="J19" s="999"/>
      <c r="K19" s="999"/>
      <c r="L19" s="999"/>
      <c r="M19" s="999"/>
    </row>
    <row r="20" spans="1:13" s="569" customFormat="1" ht="24" customHeight="1">
      <c r="A20" s="573" t="s">
        <v>75</v>
      </c>
      <c r="B20" s="837" t="s">
        <v>720</v>
      </c>
      <c r="C20" s="999">
        <f t="shared" si="3"/>
        <v>0</v>
      </c>
      <c r="D20" s="999"/>
      <c r="E20" s="999">
        <f t="shared" si="2"/>
        <v>0</v>
      </c>
      <c r="F20" s="999"/>
      <c r="G20" s="999"/>
      <c r="H20" s="999"/>
      <c r="I20" s="999"/>
      <c r="J20" s="999"/>
      <c r="K20" s="999"/>
      <c r="L20" s="999"/>
      <c r="M20" s="999"/>
    </row>
    <row r="21" spans="1:13" ht="13.5" customHeight="1">
      <c r="A21" s="598"/>
      <c r="B21" s="599"/>
      <c r="C21" s="600"/>
      <c r="D21" s="600"/>
      <c r="E21" s="600"/>
      <c r="F21" s="600"/>
      <c r="G21" s="600"/>
      <c r="H21" s="600"/>
      <c r="I21" s="600"/>
      <c r="J21" s="600"/>
      <c r="K21" s="600"/>
      <c r="L21" s="600"/>
      <c r="M21" s="600"/>
    </row>
    <row r="22" spans="2:13" ht="16.5" customHeight="1">
      <c r="B22" s="601"/>
      <c r="C22" s="601"/>
      <c r="D22" s="601"/>
      <c r="E22" s="601"/>
      <c r="F22" s="601"/>
      <c r="G22" s="601"/>
      <c r="H22" s="1697" t="str">
        <f>'Thong tin'!B8</f>
        <v>Tuyên Quang, ngày 05 tháng 04 năm 2017</v>
      </c>
      <c r="I22" s="1697"/>
      <c r="J22" s="1697"/>
      <c r="K22" s="1697"/>
      <c r="L22" s="1697"/>
      <c r="M22" s="862"/>
    </row>
    <row r="23" spans="1:13" ht="18.75">
      <c r="A23" s="601"/>
      <c r="B23" s="1699" t="s">
        <v>4</v>
      </c>
      <c r="C23" s="1699"/>
      <c r="D23" s="1699"/>
      <c r="E23" s="601"/>
      <c r="F23" s="601"/>
      <c r="G23" s="601"/>
      <c r="H23" s="1698" t="str">
        <f>'Thong tin'!B7</f>
        <v>CỤC TRƯỞNG</v>
      </c>
      <c r="I23" s="1698"/>
      <c r="J23" s="1698"/>
      <c r="K23" s="1698"/>
      <c r="L23" s="1698"/>
      <c r="M23" s="863"/>
    </row>
    <row r="24" spans="1:13" ht="16.5" customHeight="1">
      <c r="A24" s="602"/>
      <c r="B24" s="602"/>
      <c r="C24" s="602"/>
      <c r="D24" s="602"/>
      <c r="E24" s="602"/>
      <c r="F24" s="602"/>
      <c r="G24" s="602"/>
      <c r="H24" s="723"/>
      <c r="I24" s="723"/>
      <c r="J24" s="723"/>
      <c r="K24" s="723"/>
      <c r="L24" s="723"/>
      <c r="M24" s="723"/>
    </row>
    <row r="25" spans="1:13" ht="18.75">
      <c r="A25" s="578"/>
      <c r="B25" s="602"/>
      <c r="C25" s="602"/>
      <c r="D25" s="602"/>
      <c r="E25" s="602"/>
      <c r="F25" s="602"/>
      <c r="G25" s="602"/>
      <c r="H25" s="602"/>
      <c r="I25" s="764"/>
      <c r="J25" s="764"/>
      <c r="K25" s="764"/>
      <c r="L25" s="578"/>
      <c r="M25" s="578"/>
    </row>
    <row r="26" spans="1:13" ht="9" customHeight="1">
      <c r="A26" s="578"/>
      <c r="B26" s="602"/>
      <c r="C26" s="602"/>
      <c r="D26" s="602"/>
      <c r="E26" s="602"/>
      <c r="F26" s="602"/>
      <c r="G26" s="602"/>
      <c r="H26" s="602"/>
      <c r="I26" s="602"/>
      <c r="J26" s="602"/>
      <c r="K26" s="578"/>
      <c r="L26" s="578"/>
      <c r="M26" s="578"/>
    </row>
    <row r="27" spans="1:13" ht="18.75">
      <c r="A27" s="578"/>
      <c r="B27" s="602"/>
      <c r="C27" s="602"/>
      <c r="D27" s="602"/>
      <c r="E27" s="602"/>
      <c r="F27" s="602"/>
      <c r="G27" s="602"/>
      <c r="H27" s="602"/>
      <c r="I27" s="602"/>
      <c r="J27" s="602"/>
      <c r="K27" s="578"/>
      <c r="L27" s="578"/>
      <c r="M27" s="578"/>
    </row>
    <row r="28" spans="1:13" ht="9" customHeight="1">
      <c r="A28" s="578"/>
      <c r="B28" s="602"/>
      <c r="C28" s="602"/>
      <c r="D28" s="602"/>
      <c r="E28" s="602"/>
      <c r="F28" s="602"/>
      <c r="G28" s="602"/>
      <c r="H28" s="602"/>
      <c r="I28" s="602"/>
      <c r="J28" s="602"/>
      <c r="K28" s="578"/>
      <c r="L28" s="578"/>
      <c r="M28" s="578"/>
    </row>
    <row r="29" spans="1:13" ht="18.75">
      <c r="A29" s="578"/>
      <c r="B29" s="602"/>
      <c r="C29" s="602"/>
      <c r="D29" s="602"/>
      <c r="E29" s="602"/>
      <c r="F29" s="602"/>
      <c r="G29" s="602"/>
      <c r="H29" s="602"/>
      <c r="I29" s="602"/>
      <c r="J29" s="602"/>
      <c r="K29" s="578"/>
      <c r="L29" s="578"/>
      <c r="M29" s="578"/>
    </row>
    <row r="30" spans="2:13" ht="18.75">
      <c r="B30" s="1694" t="str">
        <f>'Thong tin'!B5</f>
        <v>Duy Thị Thúy</v>
      </c>
      <c r="C30" s="1694"/>
      <c r="D30" s="1694"/>
      <c r="E30" s="578"/>
      <c r="F30" s="578"/>
      <c r="G30" s="578"/>
      <c r="H30" s="1634" t="str">
        <f>'Thong tin'!B6</f>
        <v>Nguyễn Tuyên </v>
      </c>
      <c r="I30" s="1634"/>
      <c r="J30" s="1634"/>
      <c r="K30" s="1634"/>
      <c r="L30" s="1634"/>
      <c r="M30" s="860"/>
    </row>
    <row r="31" spans="1:13" ht="22.5" customHeight="1" hidden="1">
      <c r="A31" s="578"/>
      <c r="B31" s="602"/>
      <c r="C31" s="602"/>
      <c r="D31" s="602"/>
      <c r="E31" s="602"/>
      <c r="F31" s="602"/>
      <c r="G31" s="602"/>
      <c r="H31" s="602"/>
      <c r="I31" s="602"/>
      <c r="J31" s="602"/>
      <c r="K31" s="578"/>
      <c r="L31" s="578"/>
      <c r="M31" s="578"/>
    </row>
    <row r="32" spans="1:13" ht="19.5" hidden="1">
      <c r="A32" s="604" t="s">
        <v>46</v>
      </c>
      <c r="B32" s="602"/>
      <c r="C32" s="602"/>
      <c r="D32" s="602"/>
      <c r="E32" s="602"/>
      <c r="F32" s="602"/>
      <c r="G32" s="602"/>
      <c r="H32" s="602"/>
      <c r="I32" s="602"/>
      <c r="J32" s="602"/>
      <c r="K32" s="578"/>
      <c r="L32" s="578"/>
      <c r="M32" s="578"/>
    </row>
    <row r="33" spans="2:13" ht="15.75" customHeight="1" hidden="1">
      <c r="B33" s="1700" t="s">
        <v>58</v>
      </c>
      <c r="C33" s="1700"/>
      <c r="D33" s="1700"/>
      <c r="E33" s="1700"/>
      <c r="F33" s="1700"/>
      <c r="G33" s="1700"/>
      <c r="H33" s="1700"/>
      <c r="I33" s="1700"/>
      <c r="J33" s="1700"/>
      <c r="K33" s="1700"/>
      <c r="L33" s="1700"/>
      <c r="M33" s="864"/>
    </row>
    <row r="34" spans="1:13" ht="16.5" customHeight="1" hidden="1">
      <c r="A34" s="605"/>
      <c r="B34" s="1693" t="s">
        <v>60</v>
      </c>
      <c r="C34" s="1693"/>
      <c r="D34" s="1693"/>
      <c r="E34" s="1693"/>
      <c r="F34" s="1693"/>
      <c r="G34" s="1693"/>
      <c r="H34" s="1693"/>
      <c r="I34" s="1693"/>
      <c r="J34" s="1693"/>
      <c r="K34" s="1693"/>
      <c r="L34" s="1693"/>
      <c r="M34" s="605"/>
    </row>
    <row r="35" ht="15.75" hidden="1">
      <c r="B35" s="565" t="s">
        <v>59</v>
      </c>
    </row>
  </sheetData>
  <sheetProtection/>
  <mergeCells count="32">
    <mergeCell ref="J1:L1"/>
    <mergeCell ref="A2:C2"/>
    <mergeCell ref="J2:L2"/>
    <mergeCell ref="A3:C3"/>
    <mergeCell ref="J3:L3"/>
    <mergeCell ref="D1:I2"/>
    <mergeCell ref="D3:I3"/>
    <mergeCell ref="J4:L4"/>
    <mergeCell ref="J5:L5"/>
    <mergeCell ref="J6:L6"/>
    <mergeCell ref="J7:J9"/>
    <mergeCell ref="K7:K9"/>
    <mergeCell ref="L7:L9"/>
    <mergeCell ref="A4:C4"/>
    <mergeCell ref="D4:I4"/>
    <mergeCell ref="A1:C1"/>
    <mergeCell ref="A6:B9"/>
    <mergeCell ref="C6:C9"/>
    <mergeCell ref="D6:I6"/>
    <mergeCell ref="D7:I7"/>
    <mergeCell ref="D8:D9"/>
    <mergeCell ref="E8:I8"/>
    <mergeCell ref="M7:M9"/>
    <mergeCell ref="B34:L34"/>
    <mergeCell ref="H30:L30"/>
    <mergeCell ref="B30:D30"/>
    <mergeCell ref="A10:B10"/>
    <mergeCell ref="A11:B11"/>
    <mergeCell ref="H22:L22"/>
    <mergeCell ref="H23:L23"/>
    <mergeCell ref="B23:D23"/>
    <mergeCell ref="B33:L3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48"/>
  <sheetViews>
    <sheetView zoomScaleSheetLayoutView="100" zoomScalePageLayoutView="0" workbookViewId="0" topLeftCell="A7">
      <selection activeCell="C12" sqref="C12:C13"/>
    </sheetView>
  </sheetViews>
  <sheetFormatPr defaultColWidth="9.00390625" defaultRowHeight="15.75"/>
  <cols>
    <col min="1" max="1" width="3.50390625" style="610" customWidth="1"/>
    <col min="2" max="2" width="25.625" style="610" customWidth="1"/>
    <col min="3" max="8" width="5.75390625" style="610" customWidth="1"/>
    <col min="9" max="15" width="6.625" style="610" customWidth="1"/>
    <col min="16" max="21" width="5.75390625" style="610" customWidth="1"/>
    <col min="22" max="16384" width="9.00390625" style="610" customWidth="1"/>
  </cols>
  <sheetData>
    <row r="1" spans="1:22" ht="21" customHeight="1">
      <c r="A1" s="1729" t="s">
        <v>571</v>
      </c>
      <c r="B1" s="1729"/>
      <c r="C1" s="1729"/>
      <c r="D1" s="1729"/>
      <c r="E1" s="606"/>
      <c r="F1" s="1730" t="s">
        <v>572</v>
      </c>
      <c r="G1" s="1730"/>
      <c r="H1" s="1730"/>
      <c r="I1" s="1730"/>
      <c r="J1" s="1730"/>
      <c r="K1" s="1730"/>
      <c r="L1" s="1730"/>
      <c r="M1" s="1730"/>
      <c r="N1" s="1730"/>
      <c r="O1" s="607"/>
      <c r="P1" s="608" t="s">
        <v>398</v>
      </c>
      <c r="Q1" s="609"/>
      <c r="R1" s="609"/>
      <c r="S1" s="609"/>
      <c r="T1" s="609"/>
      <c r="V1" s="611"/>
    </row>
    <row r="2" spans="1:22" ht="21.75" customHeight="1">
      <c r="A2" s="1731" t="s">
        <v>726</v>
      </c>
      <c r="B2" s="1731"/>
      <c r="C2" s="1731"/>
      <c r="D2" s="1731"/>
      <c r="E2" s="1731"/>
      <c r="F2" s="1730"/>
      <c r="G2" s="1730"/>
      <c r="H2" s="1730"/>
      <c r="I2" s="1730"/>
      <c r="J2" s="1730"/>
      <c r="K2" s="1730"/>
      <c r="L2" s="1730"/>
      <c r="M2" s="1730"/>
      <c r="N2" s="1730"/>
      <c r="O2" s="607"/>
      <c r="P2" s="881" t="str">
        <f>'Thong tin'!B4</f>
        <v>Cục THADS tỉnh Tuyên Quang</v>
      </c>
      <c r="Q2" s="882"/>
      <c r="R2" s="883"/>
      <c r="S2" s="883"/>
      <c r="T2" s="883"/>
      <c r="U2" s="711"/>
      <c r="V2" s="611"/>
    </row>
    <row r="3" spans="1:20" ht="16.5" customHeight="1">
      <c r="A3" s="1731" t="s">
        <v>343</v>
      </c>
      <c r="B3" s="1731"/>
      <c r="C3" s="1731"/>
      <c r="D3" s="1731"/>
      <c r="E3" s="1731"/>
      <c r="F3" s="1732" t="str">
        <f>'Thong tin'!B3</f>
        <v>06 tháng / năm 2017</v>
      </c>
      <c r="G3" s="1733"/>
      <c r="H3" s="1733"/>
      <c r="I3" s="1733"/>
      <c r="J3" s="1733"/>
      <c r="K3" s="1733"/>
      <c r="L3" s="1733"/>
      <c r="M3" s="1733"/>
      <c r="N3" s="1733"/>
      <c r="O3" s="612"/>
      <c r="P3" s="767" t="s">
        <v>658</v>
      </c>
      <c r="Q3" s="609"/>
      <c r="R3" s="609"/>
      <c r="S3" s="609"/>
      <c r="T3" s="609"/>
    </row>
    <row r="4" spans="1:20" ht="15" customHeight="1">
      <c r="A4" s="613" t="s">
        <v>573</v>
      </c>
      <c r="B4" s="611"/>
      <c r="C4" s="613"/>
      <c r="D4" s="613"/>
      <c r="E4" s="613"/>
      <c r="F4" s="613"/>
      <c r="G4" s="613"/>
      <c r="H4" s="613"/>
      <c r="I4" s="613"/>
      <c r="J4" s="613"/>
      <c r="K4" s="613"/>
      <c r="L4" s="613"/>
      <c r="M4" s="613"/>
      <c r="N4" s="613"/>
      <c r="O4" s="613"/>
      <c r="P4" s="614" t="s">
        <v>574</v>
      </c>
      <c r="Q4" s="606"/>
      <c r="R4" s="606"/>
      <c r="S4" s="606"/>
      <c r="T4" s="606"/>
    </row>
    <row r="5" spans="1:21" ht="20.25" customHeight="1">
      <c r="A5" s="1725" t="s">
        <v>71</v>
      </c>
      <c r="B5" s="1726"/>
      <c r="C5" s="1718" t="s">
        <v>575</v>
      </c>
      <c r="D5" s="1718"/>
      <c r="E5" s="1718"/>
      <c r="F5" s="1718" t="s">
        <v>576</v>
      </c>
      <c r="G5" s="1718"/>
      <c r="H5" s="1718"/>
      <c r="I5" s="1718"/>
      <c r="J5" s="1718"/>
      <c r="K5" s="1718"/>
      <c r="L5" s="1718"/>
      <c r="M5" s="1718"/>
      <c r="N5" s="1718"/>
      <c r="O5" s="1718"/>
      <c r="P5" s="1718" t="s">
        <v>577</v>
      </c>
      <c r="Q5" s="1718"/>
      <c r="R5" s="1718"/>
      <c r="S5" s="1718"/>
      <c r="T5" s="1718"/>
      <c r="U5" s="1718"/>
    </row>
    <row r="6" spans="1:21" ht="19.5" customHeight="1">
      <c r="A6" s="1727"/>
      <c r="B6" s="1728"/>
      <c r="C6" s="1718"/>
      <c r="D6" s="1718"/>
      <c r="E6" s="1718"/>
      <c r="F6" s="1718" t="s">
        <v>578</v>
      </c>
      <c r="G6" s="1718"/>
      <c r="H6" s="1718"/>
      <c r="I6" s="1718" t="s">
        <v>579</v>
      </c>
      <c r="J6" s="1718"/>
      <c r="K6" s="1718"/>
      <c r="L6" s="1718"/>
      <c r="M6" s="1718"/>
      <c r="N6" s="1718"/>
      <c r="O6" s="1718"/>
      <c r="P6" s="1718" t="s">
        <v>36</v>
      </c>
      <c r="Q6" s="1718" t="s">
        <v>7</v>
      </c>
      <c r="R6" s="1718"/>
      <c r="S6" s="1718"/>
      <c r="T6" s="1718"/>
      <c r="U6" s="1718"/>
    </row>
    <row r="7" spans="1:22" ht="34.5" customHeight="1">
      <c r="A7" s="1727"/>
      <c r="B7" s="1728"/>
      <c r="C7" s="1718"/>
      <c r="D7" s="1718"/>
      <c r="E7" s="1718"/>
      <c r="F7" s="1718"/>
      <c r="G7" s="1718"/>
      <c r="H7" s="1718"/>
      <c r="I7" s="1718" t="s">
        <v>580</v>
      </c>
      <c r="J7" s="1718"/>
      <c r="K7" s="1718"/>
      <c r="L7" s="1718" t="s">
        <v>581</v>
      </c>
      <c r="M7" s="1718"/>
      <c r="N7" s="1718"/>
      <c r="O7" s="1718"/>
      <c r="P7" s="1718"/>
      <c r="Q7" s="1718" t="s">
        <v>657</v>
      </c>
      <c r="R7" s="1718" t="s">
        <v>583</v>
      </c>
      <c r="S7" s="1718" t="s">
        <v>584</v>
      </c>
      <c r="T7" s="1718" t="s">
        <v>585</v>
      </c>
      <c r="U7" s="1718" t="s">
        <v>586</v>
      </c>
      <c r="V7" s="610" t="s">
        <v>587</v>
      </c>
    </row>
    <row r="8" spans="1:21" ht="18.75" customHeight="1">
      <c r="A8" s="1727"/>
      <c r="B8" s="1728"/>
      <c r="C8" s="1718" t="s">
        <v>36</v>
      </c>
      <c r="D8" s="1718" t="s">
        <v>7</v>
      </c>
      <c r="E8" s="1718"/>
      <c r="F8" s="1718" t="s">
        <v>36</v>
      </c>
      <c r="G8" s="1718" t="s">
        <v>7</v>
      </c>
      <c r="H8" s="1718"/>
      <c r="I8" s="1718" t="s">
        <v>36</v>
      </c>
      <c r="J8" s="1718" t="s">
        <v>7</v>
      </c>
      <c r="K8" s="1718"/>
      <c r="L8" s="1718" t="s">
        <v>36</v>
      </c>
      <c r="M8" s="1718" t="s">
        <v>588</v>
      </c>
      <c r="N8" s="1718"/>
      <c r="O8" s="1718"/>
      <c r="P8" s="1718"/>
      <c r="Q8" s="1719"/>
      <c r="R8" s="1718"/>
      <c r="S8" s="1718"/>
      <c r="T8" s="1718"/>
      <c r="U8" s="1718"/>
    </row>
    <row r="9" spans="1:23" ht="122.25" customHeight="1">
      <c r="A9" s="1727"/>
      <c r="B9" s="1728"/>
      <c r="C9" s="1718"/>
      <c r="D9" s="616" t="s">
        <v>589</v>
      </c>
      <c r="E9" s="616" t="s">
        <v>596</v>
      </c>
      <c r="F9" s="1718"/>
      <c r="G9" s="616" t="s">
        <v>589</v>
      </c>
      <c r="H9" s="616" t="s">
        <v>590</v>
      </c>
      <c r="I9" s="1718"/>
      <c r="J9" s="616" t="s">
        <v>591</v>
      </c>
      <c r="K9" s="616" t="s">
        <v>592</v>
      </c>
      <c r="L9" s="1718"/>
      <c r="M9" s="616" t="s">
        <v>593</v>
      </c>
      <c r="N9" s="616" t="s">
        <v>594</v>
      </c>
      <c r="O9" s="616" t="s">
        <v>595</v>
      </c>
      <c r="P9" s="1718"/>
      <c r="Q9" s="1719"/>
      <c r="R9" s="1718"/>
      <c r="S9" s="1718"/>
      <c r="T9" s="1718"/>
      <c r="U9" s="1718"/>
      <c r="V9" s="617"/>
      <c r="W9" s="617"/>
    </row>
    <row r="10" spans="1:29" ht="12.75">
      <c r="A10" s="619"/>
      <c r="B10" s="620" t="s">
        <v>597</v>
      </c>
      <c r="C10" s="621">
        <v>1</v>
      </c>
      <c r="D10" s="622">
        <v>2</v>
      </c>
      <c r="E10" s="621">
        <v>3</v>
      </c>
      <c r="F10" s="622">
        <v>4</v>
      </c>
      <c r="G10" s="621">
        <v>5</v>
      </c>
      <c r="H10" s="622">
        <v>6</v>
      </c>
      <c r="I10" s="621">
        <v>7</v>
      </c>
      <c r="J10" s="622">
        <v>8</v>
      </c>
      <c r="K10" s="621">
        <v>9</v>
      </c>
      <c r="L10" s="622">
        <v>10</v>
      </c>
      <c r="M10" s="621">
        <v>11</v>
      </c>
      <c r="N10" s="622">
        <v>12</v>
      </c>
      <c r="O10" s="621">
        <v>13</v>
      </c>
      <c r="P10" s="622">
        <v>14</v>
      </c>
      <c r="Q10" s="621">
        <v>15</v>
      </c>
      <c r="R10" s="622">
        <v>16</v>
      </c>
      <c r="S10" s="621">
        <v>17</v>
      </c>
      <c r="T10" s="622">
        <v>18</v>
      </c>
      <c r="U10" s="621">
        <v>19</v>
      </c>
      <c r="V10" s="618"/>
      <c r="W10" s="617"/>
      <c r="X10" s="617"/>
      <c r="Y10" s="617"/>
      <c r="Z10" s="617"/>
      <c r="AA10" s="617"/>
      <c r="AB10" s="617"/>
      <c r="AC10" s="617"/>
    </row>
    <row r="11" spans="1:29" s="626" customFormat="1" ht="16.5" customHeight="1">
      <c r="A11" s="1723" t="s">
        <v>36</v>
      </c>
      <c r="B11" s="1724"/>
      <c r="C11" s="623">
        <f>C12+C13</f>
        <v>0</v>
      </c>
      <c r="D11" s="623">
        <f aca="true" t="shared" si="0" ref="D11:U11">D12+D13</f>
        <v>0</v>
      </c>
      <c r="E11" s="623">
        <f t="shared" si="0"/>
        <v>0</v>
      </c>
      <c r="F11" s="623">
        <f t="shared" si="0"/>
        <v>0</v>
      </c>
      <c r="G11" s="623">
        <f t="shared" si="0"/>
        <v>0</v>
      </c>
      <c r="H11" s="623">
        <f t="shared" si="0"/>
        <v>0</v>
      </c>
      <c r="I11" s="623">
        <f t="shared" si="0"/>
        <v>0</v>
      </c>
      <c r="J11" s="623">
        <f t="shared" si="0"/>
        <v>0</v>
      </c>
      <c r="K11" s="623">
        <f t="shared" si="0"/>
        <v>0</v>
      </c>
      <c r="L11" s="623">
        <f t="shared" si="0"/>
        <v>0</v>
      </c>
      <c r="M11" s="623">
        <f t="shared" si="0"/>
        <v>0</v>
      </c>
      <c r="N11" s="623">
        <f t="shared" si="0"/>
        <v>0</v>
      </c>
      <c r="O11" s="623">
        <f t="shared" si="0"/>
        <v>0</v>
      </c>
      <c r="P11" s="623">
        <f t="shared" si="0"/>
        <v>0</v>
      </c>
      <c r="Q11" s="623">
        <f t="shared" si="0"/>
        <v>0</v>
      </c>
      <c r="R11" s="623">
        <f t="shared" si="0"/>
        <v>0</v>
      </c>
      <c r="S11" s="623">
        <f t="shared" si="0"/>
        <v>0</v>
      </c>
      <c r="T11" s="623">
        <f t="shared" si="0"/>
        <v>0</v>
      </c>
      <c r="U11" s="623">
        <f t="shared" si="0"/>
        <v>0</v>
      </c>
      <c r="V11" s="624"/>
      <c r="W11" s="625"/>
      <c r="X11" s="625"/>
      <c r="Y11" s="625"/>
      <c r="Z11" s="625"/>
      <c r="AA11" s="625"/>
      <c r="AB11" s="625"/>
      <c r="AC11" s="625"/>
    </row>
    <row r="12" spans="1:29" s="626" customFormat="1" ht="16.5" customHeight="1">
      <c r="A12" s="627" t="s">
        <v>0</v>
      </c>
      <c r="B12" s="628" t="s">
        <v>97</v>
      </c>
      <c r="C12" s="623">
        <v>0</v>
      </c>
      <c r="D12" s="629">
        <v>0</v>
      </c>
      <c r="E12" s="629">
        <v>0</v>
      </c>
      <c r="F12" s="623">
        <v>0</v>
      </c>
      <c r="G12" s="629">
        <v>0</v>
      </c>
      <c r="H12" s="629">
        <v>0</v>
      </c>
      <c r="I12" s="623">
        <v>0</v>
      </c>
      <c r="J12" s="629">
        <v>0</v>
      </c>
      <c r="K12" s="629">
        <v>0</v>
      </c>
      <c r="L12" s="629">
        <v>0</v>
      </c>
      <c r="M12" s="629">
        <v>0</v>
      </c>
      <c r="N12" s="629">
        <v>0</v>
      </c>
      <c r="O12" s="629">
        <v>0</v>
      </c>
      <c r="P12" s="623">
        <v>0</v>
      </c>
      <c r="Q12" s="629">
        <v>0</v>
      </c>
      <c r="R12" s="629">
        <v>0</v>
      </c>
      <c r="S12" s="629">
        <v>0</v>
      </c>
      <c r="T12" s="629">
        <v>0</v>
      </c>
      <c r="U12" s="629">
        <v>0</v>
      </c>
      <c r="V12" s="630"/>
      <c r="W12" s="625"/>
      <c r="X12" s="625"/>
      <c r="Y12" s="625"/>
      <c r="Z12" s="625"/>
      <c r="AA12" s="625"/>
      <c r="AB12" s="625"/>
      <c r="AC12" s="625"/>
    </row>
    <row r="13" spans="1:29" s="626" customFormat="1" ht="16.5" customHeight="1">
      <c r="A13" s="631" t="s">
        <v>1</v>
      </c>
      <c r="B13" s="628" t="s">
        <v>18</v>
      </c>
      <c r="C13" s="623">
        <v>0</v>
      </c>
      <c r="D13" s="623">
        <v>0</v>
      </c>
      <c r="E13" s="629">
        <v>0</v>
      </c>
      <c r="F13" s="623">
        <v>0</v>
      </c>
      <c r="G13" s="623">
        <v>0</v>
      </c>
      <c r="H13" s="629">
        <v>0</v>
      </c>
      <c r="I13" s="623">
        <v>0</v>
      </c>
      <c r="J13" s="629">
        <v>0</v>
      </c>
      <c r="K13" s="623">
        <v>0</v>
      </c>
      <c r="L13" s="623">
        <v>0</v>
      </c>
      <c r="M13" s="623">
        <v>0</v>
      </c>
      <c r="N13" s="623">
        <v>0</v>
      </c>
      <c r="O13" s="623">
        <v>0</v>
      </c>
      <c r="P13" s="623">
        <v>0</v>
      </c>
      <c r="Q13" s="623">
        <v>0</v>
      </c>
      <c r="R13" s="623">
        <v>0</v>
      </c>
      <c r="S13" s="623">
        <v>0</v>
      </c>
      <c r="T13" s="623">
        <v>0</v>
      </c>
      <c r="U13" s="623">
        <v>0</v>
      </c>
      <c r="V13" s="625"/>
      <c r="W13" s="625"/>
      <c r="X13" s="625"/>
      <c r="Y13" s="625"/>
      <c r="Z13" s="625"/>
      <c r="AA13" s="625"/>
      <c r="AB13" s="625"/>
      <c r="AC13" s="625"/>
    </row>
    <row r="14" spans="1:29" s="626" customFormat="1" ht="18" customHeight="1">
      <c r="A14" s="632" t="s">
        <v>51</v>
      </c>
      <c r="B14" s="837" t="s">
        <v>714</v>
      </c>
      <c r="C14" s="623">
        <v>0</v>
      </c>
      <c r="D14" s="629"/>
      <c r="E14" s="629"/>
      <c r="F14" s="623"/>
      <c r="G14" s="629"/>
      <c r="H14" s="629"/>
      <c r="I14" s="623"/>
      <c r="J14" s="629"/>
      <c r="K14" s="629"/>
      <c r="L14" s="623"/>
      <c r="M14" s="629"/>
      <c r="N14" s="629"/>
      <c r="O14" s="629"/>
      <c r="P14" s="623"/>
      <c r="Q14" s="629"/>
      <c r="R14" s="629"/>
      <c r="S14" s="629"/>
      <c r="T14" s="629"/>
      <c r="U14" s="629"/>
      <c r="V14" s="625"/>
      <c r="W14" s="625"/>
      <c r="X14" s="625"/>
      <c r="Y14" s="625"/>
      <c r="Z14" s="625"/>
      <c r="AA14" s="625"/>
      <c r="AB14" s="625"/>
      <c r="AC14" s="625"/>
    </row>
    <row r="15" spans="1:29" s="626" customFormat="1" ht="18" customHeight="1">
      <c r="A15" s="632" t="s">
        <v>52</v>
      </c>
      <c r="B15" s="837" t="s">
        <v>715</v>
      </c>
      <c r="C15" s="623">
        <v>0</v>
      </c>
      <c r="D15" s="629"/>
      <c r="E15" s="629"/>
      <c r="F15" s="623"/>
      <c r="G15" s="629"/>
      <c r="H15" s="629"/>
      <c r="I15" s="623"/>
      <c r="J15" s="629"/>
      <c r="K15" s="629"/>
      <c r="L15" s="623"/>
      <c r="M15" s="629"/>
      <c r="N15" s="629"/>
      <c r="O15" s="629"/>
      <c r="P15" s="623"/>
      <c r="Q15" s="629"/>
      <c r="R15" s="629"/>
      <c r="S15" s="629"/>
      <c r="T15" s="629"/>
      <c r="U15" s="629"/>
      <c r="V15" s="625"/>
      <c r="W15" s="625"/>
      <c r="X15" s="625"/>
      <c r="Y15" s="625"/>
      <c r="Z15" s="625"/>
      <c r="AA15" s="625"/>
      <c r="AB15" s="625"/>
      <c r="AC15" s="625"/>
    </row>
    <row r="16" spans="1:29" s="626" customFormat="1" ht="18" customHeight="1">
      <c r="A16" s="632" t="s">
        <v>57</v>
      </c>
      <c r="B16" s="837" t="s">
        <v>716</v>
      </c>
      <c r="C16" s="623">
        <v>0</v>
      </c>
      <c r="D16" s="629"/>
      <c r="E16" s="629"/>
      <c r="F16" s="623"/>
      <c r="G16" s="629"/>
      <c r="H16" s="629"/>
      <c r="I16" s="623"/>
      <c r="J16" s="629"/>
      <c r="K16" s="629"/>
      <c r="L16" s="623"/>
      <c r="M16" s="629"/>
      <c r="N16" s="629"/>
      <c r="O16" s="629"/>
      <c r="P16" s="623"/>
      <c r="Q16" s="629"/>
      <c r="R16" s="629"/>
      <c r="S16" s="629"/>
      <c r="T16" s="629"/>
      <c r="U16" s="629"/>
      <c r="V16" s="625"/>
      <c r="W16" s="625"/>
      <c r="X16" s="625"/>
      <c r="Y16" s="625"/>
      <c r="Z16" s="625"/>
      <c r="AA16" s="625"/>
      <c r="AB16" s="625"/>
      <c r="AC16" s="625"/>
    </row>
    <row r="17" spans="1:29" s="626" customFormat="1" ht="18" customHeight="1">
      <c r="A17" s="632" t="s">
        <v>72</v>
      </c>
      <c r="B17" s="837" t="s">
        <v>717</v>
      </c>
      <c r="C17" s="623">
        <v>0</v>
      </c>
      <c r="D17" s="629"/>
      <c r="E17" s="629"/>
      <c r="F17" s="623"/>
      <c r="G17" s="629"/>
      <c r="H17" s="629"/>
      <c r="I17" s="623"/>
      <c r="J17" s="629"/>
      <c r="K17" s="629"/>
      <c r="L17" s="623"/>
      <c r="M17" s="629"/>
      <c r="N17" s="629"/>
      <c r="O17" s="629"/>
      <c r="P17" s="623"/>
      <c r="Q17" s="629"/>
      <c r="R17" s="629"/>
      <c r="S17" s="629"/>
      <c r="T17" s="629"/>
      <c r="U17" s="629"/>
      <c r="V17" s="625"/>
      <c r="W17" s="625"/>
      <c r="X17" s="625"/>
      <c r="Y17" s="625"/>
      <c r="Z17" s="625"/>
      <c r="AA17" s="625"/>
      <c r="AB17" s="625"/>
      <c r="AC17" s="625"/>
    </row>
    <row r="18" spans="1:29" s="626" customFormat="1" ht="18" customHeight="1">
      <c r="A18" s="632" t="s">
        <v>73</v>
      </c>
      <c r="B18" s="837" t="s">
        <v>718</v>
      </c>
      <c r="C18" s="623">
        <f>D18+E18</f>
        <v>0</v>
      </c>
      <c r="D18" s="629"/>
      <c r="E18" s="629"/>
      <c r="F18" s="623">
        <f>G18+H18</f>
        <v>0</v>
      </c>
      <c r="G18" s="629"/>
      <c r="H18" s="629"/>
      <c r="I18" s="623">
        <f>J18+K18</f>
        <v>0</v>
      </c>
      <c r="J18" s="629"/>
      <c r="K18" s="629"/>
      <c r="L18" s="623"/>
      <c r="M18" s="629"/>
      <c r="N18" s="629"/>
      <c r="O18" s="629"/>
      <c r="P18" s="623">
        <f>Q18+R18+S18+T18+U18</f>
        <v>0</v>
      </c>
      <c r="Q18" s="629"/>
      <c r="R18" s="629"/>
      <c r="S18" s="629"/>
      <c r="T18" s="629"/>
      <c r="U18" s="629"/>
      <c r="V18" s="625"/>
      <c r="W18" s="625"/>
      <c r="X18" s="625"/>
      <c r="Y18" s="625"/>
      <c r="Z18" s="625"/>
      <c r="AA18" s="625"/>
      <c r="AB18" s="625"/>
      <c r="AC18" s="625"/>
    </row>
    <row r="19" spans="1:29" s="626" customFormat="1" ht="18" customHeight="1">
      <c r="A19" s="632" t="s">
        <v>74</v>
      </c>
      <c r="B19" s="837" t="s">
        <v>719</v>
      </c>
      <c r="C19" s="623">
        <v>0</v>
      </c>
      <c r="D19" s="629"/>
      <c r="E19" s="629"/>
      <c r="F19" s="623"/>
      <c r="G19" s="629"/>
      <c r="H19" s="629"/>
      <c r="I19" s="623"/>
      <c r="J19" s="629"/>
      <c r="K19" s="629"/>
      <c r="L19" s="623"/>
      <c r="M19" s="629"/>
      <c r="N19" s="629"/>
      <c r="O19" s="629"/>
      <c r="P19" s="623"/>
      <c r="Q19" s="629"/>
      <c r="R19" s="629"/>
      <c r="S19" s="629"/>
      <c r="T19" s="629"/>
      <c r="U19" s="629"/>
      <c r="V19" s="625"/>
      <c r="W19" s="625"/>
      <c r="X19" s="625"/>
      <c r="Y19" s="625"/>
      <c r="Z19" s="625"/>
      <c r="AA19" s="625"/>
      <c r="AB19" s="625"/>
      <c r="AC19" s="625"/>
    </row>
    <row r="20" spans="1:29" s="626" customFormat="1" ht="18" customHeight="1">
      <c r="A20" s="632" t="s">
        <v>75</v>
      </c>
      <c r="B20" s="837" t="s">
        <v>720</v>
      </c>
      <c r="C20" s="623">
        <v>0</v>
      </c>
      <c r="D20" s="629"/>
      <c r="E20" s="629"/>
      <c r="F20" s="623"/>
      <c r="G20" s="629"/>
      <c r="H20" s="629"/>
      <c r="I20" s="623"/>
      <c r="J20" s="629"/>
      <c r="K20" s="629"/>
      <c r="L20" s="623"/>
      <c r="M20" s="629"/>
      <c r="N20" s="629"/>
      <c r="O20" s="629"/>
      <c r="P20" s="623"/>
      <c r="Q20" s="629"/>
      <c r="R20" s="629"/>
      <c r="S20" s="629"/>
      <c r="T20" s="629"/>
      <c r="U20" s="629"/>
      <c r="V20" s="625"/>
      <c r="W20" s="625"/>
      <c r="X20" s="625"/>
      <c r="Y20" s="625"/>
      <c r="Z20" s="625"/>
      <c r="AA20" s="625"/>
      <c r="AB20" s="625"/>
      <c r="AC20" s="625"/>
    </row>
    <row r="21" spans="1:21" ht="22.5" customHeight="1">
      <c r="A21" s="633"/>
      <c r="B21" s="1721"/>
      <c r="C21" s="1721"/>
      <c r="D21" s="1721"/>
      <c r="E21" s="1721"/>
      <c r="F21" s="1721"/>
      <c r="G21" s="1721"/>
      <c r="H21" s="705"/>
      <c r="I21" s="705"/>
      <c r="J21" s="705"/>
      <c r="K21" s="705"/>
      <c r="L21" s="705"/>
      <c r="M21" s="768"/>
      <c r="N21" s="1720" t="str">
        <f>'Thong tin'!B8</f>
        <v>Tuyên Quang, ngày 05 tháng 04 năm 2017</v>
      </c>
      <c r="O21" s="1720"/>
      <c r="P21" s="1720"/>
      <c r="Q21" s="1720"/>
      <c r="R21" s="1720"/>
      <c r="S21" s="1720"/>
      <c r="T21" s="1720"/>
      <c r="U21" s="1720"/>
    </row>
    <row r="22" spans="1:21" ht="17.25" customHeight="1">
      <c r="A22" s="633"/>
      <c r="B22" s="1722" t="s">
        <v>4</v>
      </c>
      <c r="C22" s="1722"/>
      <c r="D22" s="1722"/>
      <c r="E22" s="1722"/>
      <c r="F22" s="1722"/>
      <c r="G22" s="1722"/>
      <c r="H22" s="676"/>
      <c r="I22" s="676"/>
      <c r="J22" s="676"/>
      <c r="K22" s="676"/>
      <c r="L22" s="676"/>
      <c r="M22" s="768"/>
      <c r="N22" s="1713" t="str">
        <f>'Thong tin'!B7</f>
        <v>CỤC TRƯỞNG</v>
      </c>
      <c r="O22" s="1713"/>
      <c r="P22" s="1713"/>
      <c r="Q22" s="1713"/>
      <c r="R22" s="1713"/>
      <c r="S22" s="1713"/>
      <c r="T22" s="1713"/>
      <c r="U22" s="1713"/>
    </row>
    <row r="23" spans="1:21" ht="18" customHeight="1">
      <c r="A23" s="637"/>
      <c r="B23" s="1712"/>
      <c r="C23" s="1712"/>
      <c r="D23" s="1712"/>
      <c r="E23" s="1712"/>
      <c r="F23" s="1712"/>
      <c r="G23" s="770"/>
      <c r="H23" s="770"/>
      <c r="I23" s="770"/>
      <c r="J23" s="770"/>
      <c r="K23" s="770"/>
      <c r="L23" s="770"/>
      <c r="M23" s="770"/>
      <c r="N23" s="1713"/>
      <c r="O23" s="1713"/>
      <c r="P23" s="1713"/>
      <c r="Q23" s="1713"/>
      <c r="R23" s="1713"/>
      <c r="S23" s="1713"/>
      <c r="T23" s="1713"/>
      <c r="U23" s="1713"/>
    </row>
    <row r="24" spans="2:21" ht="23.25" customHeight="1">
      <c r="B24" s="1714"/>
      <c r="C24" s="1714"/>
      <c r="D24" s="1714"/>
      <c r="E24" s="1714"/>
      <c r="F24" s="1714"/>
      <c r="G24" s="768"/>
      <c r="H24" s="768"/>
      <c r="I24" s="768"/>
      <c r="J24" s="768"/>
      <c r="K24" s="768"/>
      <c r="L24" s="768"/>
      <c r="M24" s="768"/>
      <c r="N24" s="768"/>
      <c r="O24" s="768"/>
      <c r="P24" s="1714"/>
      <c r="Q24" s="1714"/>
      <c r="R24" s="1714"/>
      <c r="S24" s="1714"/>
      <c r="T24" s="1714"/>
      <c r="U24" s="768"/>
    </row>
    <row r="25" spans="2:21" ht="3" customHeight="1">
      <c r="B25" s="768"/>
      <c r="C25" s="768"/>
      <c r="D25" s="768"/>
      <c r="E25" s="768"/>
      <c r="F25" s="768"/>
      <c r="G25" s="768"/>
      <c r="H25" s="768"/>
      <c r="I25" s="768"/>
      <c r="J25" s="768"/>
      <c r="K25" s="768"/>
      <c r="L25" s="768"/>
      <c r="M25" s="768"/>
      <c r="N25" s="768"/>
      <c r="O25" s="768"/>
      <c r="P25" s="768"/>
      <c r="Q25" s="1717"/>
      <c r="R25" s="1717"/>
      <c r="S25" s="768"/>
      <c r="T25" s="768"/>
      <c r="U25" s="768"/>
    </row>
    <row r="26" spans="2:21" ht="10.5" customHeight="1">
      <c r="B26" s="768"/>
      <c r="C26" s="768"/>
      <c r="D26" s="768"/>
      <c r="E26" s="768"/>
      <c r="F26" s="768"/>
      <c r="G26" s="768"/>
      <c r="H26" s="768"/>
      <c r="I26" s="768"/>
      <c r="J26" s="768"/>
      <c r="K26" s="768"/>
      <c r="L26" s="768"/>
      <c r="M26" s="768"/>
      <c r="N26" s="768"/>
      <c r="O26" s="768"/>
      <c r="P26" s="768"/>
      <c r="Q26" s="768"/>
      <c r="R26" s="768"/>
      <c r="S26" s="768"/>
      <c r="T26" s="768"/>
      <c r="U26" s="768"/>
    </row>
    <row r="27" spans="2:21" ht="18">
      <c r="B27" s="768"/>
      <c r="C27" s="768"/>
      <c r="D27" s="768"/>
      <c r="E27" s="768"/>
      <c r="F27" s="768"/>
      <c r="G27" s="768"/>
      <c r="H27" s="768"/>
      <c r="I27" s="768"/>
      <c r="J27" s="768" t="s">
        <v>587</v>
      </c>
      <c r="K27" s="768"/>
      <c r="L27" s="768"/>
      <c r="M27" s="768"/>
      <c r="N27" s="768"/>
      <c r="O27" s="768"/>
      <c r="P27" s="768"/>
      <c r="Q27" s="768"/>
      <c r="R27" s="768"/>
      <c r="S27" s="768"/>
      <c r="T27" s="768"/>
      <c r="U27" s="768"/>
    </row>
    <row r="28" spans="2:21" ht="16.5">
      <c r="B28" s="1715" t="str">
        <f>'Thong tin'!B5</f>
        <v>Duy Thị Thúy</v>
      </c>
      <c r="C28" s="1715"/>
      <c r="D28" s="1715"/>
      <c r="E28" s="1715"/>
      <c r="F28" s="1715"/>
      <c r="G28" s="1715"/>
      <c r="H28" s="771"/>
      <c r="I28" s="772"/>
      <c r="J28" s="772"/>
      <c r="K28" s="772"/>
      <c r="L28" s="772"/>
      <c r="M28" s="772"/>
      <c r="N28" s="1715" t="str">
        <f>'Thong tin'!B6</f>
        <v>Nguyễn Tuyên </v>
      </c>
      <c r="O28" s="1715"/>
      <c r="P28" s="1715"/>
      <c r="Q28" s="1715"/>
      <c r="R28" s="1715"/>
      <c r="S28" s="1715"/>
      <c r="T28" s="1715"/>
      <c r="U28" s="1715"/>
    </row>
    <row r="30" spans="15:20" ht="12.75">
      <c r="O30" s="1716"/>
      <c r="P30" s="1716"/>
      <c r="Q30" s="1716"/>
      <c r="R30" s="1716"/>
      <c r="S30" s="1716"/>
      <c r="T30" s="1716"/>
    </row>
    <row r="32" ht="12.75" hidden="1"/>
    <row r="33" spans="1:14" ht="12.75" customHeight="1" hidden="1">
      <c r="A33" s="641" t="s">
        <v>224</v>
      </c>
      <c r="B33" s="642"/>
      <c r="C33" s="642"/>
      <c r="D33" s="642"/>
      <c r="E33" s="642"/>
      <c r="F33" s="642"/>
      <c r="G33" s="642"/>
      <c r="H33" s="642"/>
      <c r="I33" s="642"/>
      <c r="J33" s="642"/>
      <c r="K33" s="642"/>
      <c r="L33" s="642"/>
      <c r="M33" s="642"/>
      <c r="N33" s="642"/>
    </row>
    <row r="34" spans="1:14" s="643" customFormat="1" ht="15.75" customHeight="1" hidden="1">
      <c r="A34" s="1711" t="s">
        <v>598</v>
      </c>
      <c r="B34" s="1711"/>
      <c r="C34" s="1711"/>
      <c r="D34" s="1711"/>
      <c r="E34" s="1711"/>
      <c r="F34" s="1711"/>
      <c r="G34" s="1711"/>
      <c r="H34" s="1711"/>
      <c r="I34" s="1711"/>
      <c r="J34" s="1711"/>
      <c r="K34" s="1711"/>
      <c r="L34" s="642"/>
      <c r="M34" s="642"/>
      <c r="N34" s="642"/>
    </row>
    <row r="35" spans="1:14" s="646" customFormat="1" ht="15" hidden="1">
      <c r="A35" s="644" t="s">
        <v>599</v>
      </c>
      <c r="B35" s="645"/>
      <c r="C35" s="645"/>
      <c r="D35" s="645"/>
      <c r="E35" s="645"/>
      <c r="F35" s="645"/>
      <c r="G35" s="645"/>
      <c r="H35" s="645"/>
      <c r="I35" s="645"/>
      <c r="J35" s="645"/>
      <c r="K35" s="645"/>
      <c r="L35" s="645"/>
      <c r="M35" s="645"/>
      <c r="N35" s="645"/>
    </row>
    <row r="36" spans="1:14" s="643" customFormat="1" ht="15" hidden="1">
      <c r="A36" s="644" t="s">
        <v>600</v>
      </c>
      <c r="B36" s="645"/>
      <c r="C36" s="645"/>
      <c r="D36" s="645"/>
      <c r="E36" s="645"/>
      <c r="F36" s="645"/>
      <c r="G36" s="645"/>
      <c r="H36" s="645"/>
      <c r="I36" s="645"/>
      <c r="J36" s="645"/>
      <c r="K36" s="645"/>
      <c r="L36" s="647"/>
      <c r="M36" s="647"/>
      <c r="N36" s="647"/>
    </row>
    <row r="37" spans="1:14" s="643" customFormat="1" ht="15" hidden="1">
      <c r="A37" s="647"/>
      <c r="B37" s="647"/>
      <c r="C37" s="647"/>
      <c r="D37" s="647"/>
      <c r="E37" s="647"/>
      <c r="F37" s="647"/>
      <c r="G37" s="647"/>
      <c r="H37" s="647"/>
      <c r="I37" s="647"/>
      <c r="J37" s="647"/>
      <c r="K37" s="647"/>
      <c r="L37" s="647"/>
      <c r="M37" s="647"/>
      <c r="N37" s="647"/>
    </row>
    <row r="38" spans="1:14" ht="12.75" hidden="1">
      <c r="A38" s="637"/>
      <c r="B38" s="637"/>
      <c r="C38" s="637"/>
      <c r="D38" s="637"/>
      <c r="E38" s="637"/>
      <c r="F38" s="637"/>
      <c r="G38" s="637"/>
      <c r="H38" s="637"/>
      <c r="I38" s="637"/>
      <c r="J38" s="637"/>
      <c r="K38" s="637"/>
      <c r="L38" s="637"/>
      <c r="M38" s="637"/>
      <c r="N38" s="637"/>
    </row>
    <row r="39" ht="15.75" hidden="1">
      <c r="H39" s="562"/>
    </row>
    <row r="40" ht="12.75" hidden="1"/>
    <row r="41" ht="12.75" hidden="1"/>
    <row r="42" ht="12.75" hidden="1"/>
    <row r="43" ht="12.75" hidden="1"/>
    <row r="44" ht="12.75" hidden="1">
      <c r="D44" s="648"/>
    </row>
    <row r="45" ht="12.75" hidden="1">
      <c r="C45" s="648"/>
    </row>
    <row r="46" ht="12.75" hidden="1"/>
    <row r="47" ht="12.75" hidden="1"/>
    <row r="48" ht="12.75" hidden="1">
      <c r="L48" s="648" t="e">
        <f>J48/K48</f>
        <v>#DIV/0!</v>
      </c>
    </row>
    <row r="49" ht="12.75" hidden="1"/>
    <row r="50" ht="12.75" hidden="1"/>
    <row r="51" ht="12.75" hidden="1"/>
    <row r="52" ht="12.75" hidden="1"/>
    <row r="53" ht="12.75" hidden="1"/>
    <row r="54" ht="12.75" hidden="1"/>
    <row r="55" ht="12.75" hidden="1"/>
    <row r="56" ht="12.75" hidden="1"/>
    <row r="57" ht="12.75" hidden="1"/>
  </sheetData>
  <sheetProtection/>
  <mergeCells count="42">
    <mergeCell ref="A1:D1"/>
    <mergeCell ref="F1:N2"/>
    <mergeCell ref="A2:E2"/>
    <mergeCell ref="A3:E3"/>
    <mergeCell ref="F3:N3"/>
    <mergeCell ref="F8:F9"/>
    <mergeCell ref="C5:E7"/>
    <mergeCell ref="I7:K7"/>
    <mergeCell ref="F5:O5"/>
    <mergeCell ref="B22:G22"/>
    <mergeCell ref="D8:E8"/>
    <mergeCell ref="L8:L9"/>
    <mergeCell ref="A11:B11"/>
    <mergeCell ref="A5:B9"/>
    <mergeCell ref="F6:H7"/>
    <mergeCell ref="G8:H8"/>
    <mergeCell ref="P5:U5"/>
    <mergeCell ref="L7:O7"/>
    <mergeCell ref="C8:C9"/>
    <mergeCell ref="U7:U9"/>
    <mergeCell ref="B21:G21"/>
    <mergeCell ref="I8:I9"/>
    <mergeCell ref="J8:K8"/>
    <mergeCell ref="M8:O8"/>
    <mergeCell ref="Q6:U6"/>
    <mergeCell ref="R7:R9"/>
    <mergeCell ref="S7:S9"/>
    <mergeCell ref="N22:U22"/>
    <mergeCell ref="T7:T9"/>
    <mergeCell ref="I6:O6"/>
    <mergeCell ref="P6:P9"/>
    <mergeCell ref="Q7:Q9"/>
    <mergeCell ref="N21:U21"/>
    <mergeCell ref="A34:K34"/>
    <mergeCell ref="B23:F23"/>
    <mergeCell ref="N23:U23"/>
    <mergeCell ref="B24:F24"/>
    <mergeCell ref="P24:T24"/>
    <mergeCell ref="N28:U28"/>
    <mergeCell ref="O30:T30"/>
    <mergeCell ref="B28:G28"/>
    <mergeCell ref="Q25:R25"/>
  </mergeCells>
  <printOptions/>
  <pageMargins left="0.49" right="0" top="0.14" bottom="0" header="0.07" footer="0.15"/>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13"/>
  </sheetPr>
  <dimension ref="A1:U32"/>
  <sheetViews>
    <sheetView zoomScaleSheetLayoutView="100" zoomScalePageLayoutView="0" workbookViewId="0" topLeftCell="A7">
      <selection activeCell="F5" sqref="F5:O5"/>
    </sheetView>
  </sheetViews>
  <sheetFormatPr defaultColWidth="9.00390625" defaultRowHeight="15.75"/>
  <cols>
    <col min="1" max="1" width="3.50390625" style="652" customWidth="1"/>
    <col min="2" max="2" width="25.25390625" style="652" customWidth="1"/>
    <col min="3" max="3" width="5.25390625" style="652" customWidth="1"/>
    <col min="4" max="4" width="6.625" style="652" customWidth="1"/>
    <col min="5" max="5" width="5.125" style="652" customWidth="1"/>
    <col min="6" max="9" width="5.75390625" style="652" customWidth="1"/>
    <col min="10" max="10" width="6.875" style="652" customWidth="1"/>
    <col min="11" max="11" width="7.50390625" style="652" customWidth="1"/>
    <col min="12" max="12" width="5.75390625" style="652" customWidth="1"/>
    <col min="13" max="13" width="7.75390625" style="652" customWidth="1"/>
    <col min="14" max="14" width="10.50390625" style="652" customWidth="1"/>
    <col min="15" max="15" width="8.125" style="652" customWidth="1"/>
    <col min="16" max="21" width="5.75390625" style="652" customWidth="1"/>
    <col min="22" max="16384" width="9.00390625" style="652" customWidth="1"/>
  </cols>
  <sheetData>
    <row r="1" spans="1:21" ht="19.5" customHeight="1">
      <c r="A1" s="1758" t="s">
        <v>601</v>
      </c>
      <c r="B1" s="1758"/>
      <c r="C1" s="1758"/>
      <c r="D1" s="1758"/>
      <c r="E1" s="649"/>
      <c r="F1" s="1759" t="s">
        <v>602</v>
      </c>
      <c r="G1" s="1759"/>
      <c r="H1" s="1759"/>
      <c r="I1" s="1759"/>
      <c r="J1" s="1759"/>
      <c r="K1" s="1759"/>
      <c r="L1" s="1759"/>
      <c r="M1" s="1759"/>
      <c r="N1" s="1759"/>
      <c r="O1" s="650"/>
      <c r="P1" s="1752" t="s">
        <v>467</v>
      </c>
      <c r="Q1" s="1753"/>
      <c r="R1" s="1753"/>
      <c r="S1" s="1753"/>
      <c r="T1" s="1753"/>
      <c r="U1" s="1753"/>
    </row>
    <row r="2" spans="1:21" ht="15.75" customHeight="1">
      <c r="A2" s="1754" t="s">
        <v>726</v>
      </c>
      <c r="B2" s="1754"/>
      <c r="C2" s="1754"/>
      <c r="D2" s="1754"/>
      <c r="E2" s="1754"/>
      <c r="F2" s="1759"/>
      <c r="G2" s="1759"/>
      <c r="H2" s="1759"/>
      <c r="I2" s="1759"/>
      <c r="J2" s="1759"/>
      <c r="K2" s="1759"/>
      <c r="L2" s="1759"/>
      <c r="M2" s="1759"/>
      <c r="N2" s="1759"/>
      <c r="O2" s="650"/>
      <c r="P2" s="1760" t="s">
        <v>732</v>
      </c>
      <c r="Q2" s="1760"/>
      <c r="R2" s="1760"/>
      <c r="S2" s="1760"/>
      <c r="T2" s="1760"/>
      <c r="U2" s="1760"/>
    </row>
    <row r="3" spans="1:20" ht="15.75" customHeight="1">
      <c r="A3" s="1755" t="s">
        <v>343</v>
      </c>
      <c r="B3" s="1755"/>
      <c r="C3" s="1755"/>
      <c r="D3" s="1755"/>
      <c r="E3" s="1755"/>
      <c r="F3" s="1756" t="s">
        <v>721</v>
      </c>
      <c r="G3" s="1757"/>
      <c r="H3" s="1757"/>
      <c r="I3" s="1757"/>
      <c r="J3" s="1757"/>
      <c r="K3" s="1757"/>
      <c r="L3" s="1757"/>
      <c r="M3" s="1757"/>
      <c r="N3" s="1757"/>
      <c r="O3" s="655"/>
      <c r="P3" s="773" t="s">
        <v>658</v>
      </c>
      <c r="Q3" s="656"/>
      <c r="R3" s="656"/>
      <c r="S3" s="656"/>
      <c r="T3" s="656"/>
    </row>
    <row r="4" spans="1:20" ht="15" customHeight="1">
      <c r="A4" s="657" t="s">
        <v>603</v>
      </c>
      <c r="B4" s="657"/>
      <c r="C4" s="657"/>
      <c r="D4" s="1747"/>
      <c r="E4" s="1747"/>
      <c r="F4" s="1747"/>
      <c r="G4" s="1747"/>
      <c r="H4" s="1747"/>
      <c r="I4" s="1747"/>
      <c r="J4" s="1747"/>
      <c r="K4" s="1747"/>
      <c r="L4" s="1747"/>
      <c r="M4" s="1747"/>
      <c r="N4" s="1747"/>
      <c r="O4" s="1747"/>
      <c r="P4" s="658" t="s">
        <v>604</v>
      </c>
      <c r="Q4" s="653"/>
      <c r="R4" s="653"/>
      <c r="S4" s="653"/>
      <c r="T4" s="653"/>
    </row>
    <row r="5" spans="1:21" s="660" customFormat="1" ht="15.75" customHeight="1">
      <c r="A5" s="1748" t="s">
        <v>71</v>
      </c>
      <c r="B5" s="1749"/>
      <c r="C5" s="1740" t="s">
        <v>575</v>
      </c>
      <c r="D5" s="1740"/>
      <c r="E5" s="1740"/>
      <c r="F5" s="1740" t="s">
        <v>605</v>
      </c>
      <c r="G5" s="1740"/>
      <c r="H5" s="1740"/>
      <c r="I5" s="1740"/>
      <c r="J5" s="1740"/>
      <c r="K5" s="1740"/>
      <c r="L5" s="1740"/>
      <c r="M5" s="1740"/>
      <c r="N5" s="1740"/>
      <c r="O5" s="1740"/>
      <c r="P5" s="1740" t="s">
        <v>606</v>
      </c>
      <c r="Q5" s="1740"/>
      <c r="R5" s="1740"/>
      <c r="S5" s="1740"/>
      <c r="T5" s="1740"/>
      <c r="U5" s="1740"/>
    </row>
    <row r="6" spans="1:21" s="660" customFormat="1" ht="14.25" customHeight="1">
      <c r="A6" s="1750"/>
      <c r="B6" s="1751"/>
      <c r="C6" s="1740"/>
      <c r="D6" s="1740"/>
      <c r="E6" s="1740"/>
      <c r="F6" s="1740" t="s">
        <v>607</v>
      </c>
      <c r="G6" s="1740"/>
      <c r="H6" s="1740"/>
      <c r="I6" s="1740" t="s">
        <v>579</v>
      </c>
      <c r="J6" s="1740"/>
      <c r="K6" s="1740"/>
      <c r="L6" s="1740"/>
      <c r="M6" s="1740"/>
      <c r="N6" s="1740"/>
      <c r="O6" s="1740"/>
      <c r="P6" s="1740" t="s">
        <v>225</v>
      </c>
      <c r="Q6" s="1746" t="s">
        <v>7</v>
      </c>
      <c r="R6" s="1746"/>
      <c r="S6" s="1746"/>
      <c r="T6" s="1746"/>
      <c r="U6" s="1746"/>
    </row>
    <row r="7" spans="1:21" s="660" customFormat="1" ht="32.25" customHeight="1">
      <c r="A7" s="1750"/>
      <c r="B7" s="1751"/>
      <c r="C7" s="1740"/>
      <c r="D7" s="1740"/>
      <c r="E7" s="1740"/>
      <c r="F7" s="1740"/>
      <c r="G7" s="1740"/>
      <c r="H7" s="1740"/>
      <c r="I7" s="1740" t="s">
        <v>580</v>
      </c>
      <c r="J7" s="1740"/>
      <c r="K7" s="1740"/>
      <c r="L7" s="1740" t="s">
        <v>608</v>
      </c>
      <c r="M7" s="1740"/>
      <c r="N7" s="1740"/>
      <c r="O7" s="1740"/>
      <c r="P7" s="1740"/>
      <c r="Q7" s="1740" t="s">
        <v>582</v>
      </c>
      <c r="R7" s="1740" t="s">
        <v>609</v>
      </c>
      <c r="S7" s="1740" t="s">
        <v>610</v>
      </c>
      <c r="T7" s="1740" t="s">
        <v>611</v>
      </c>
      <c r="U7" s="1740" t="s">
        <v>612</v>
      </c>
    </row>
    <row r="8" spans="1:21" s="660" customFormat="1" ht="15" customHeight="1">
      <c r="A8" s="1750"/>
      <c r="B8" s="1751"/>
      <c r="C8" s="1740" t="s">
        <v>613</v>
      </c>
      <c r="D8" s="1740" t="s">
        <v>7</v>
      </c>
      <c r="E8" s="1740"/>
      <c r="F8" s="1740" t="s">
        <v>614</v>
      </c>
      <c r="G8" s="1740" t="s">
        <v>7</v>
      </c>
      <c r="H8" s="1740"/>
      <c r="I8" s="1740" t="s">
        <v>615</v>
      </c>
      <c r="J8" s="1740" t="s">
        <v>7</v>
      </c>
      <c r="K8" s="1740"/>
      <c r="L8" s="1740" t="s">
        <v>614</v>
      </c>
      <c r="M8" s="1740" t="s">
        <v>7</v>
      </c>
      <c r="N8" s="1740"/>
      <c r="O8" s="1740"/>
      <c r="P8" s="1740"/>
      <c r="Q8" s="1740"/>
      <c r="R8" s="1745"/>
      <c r="S8" s="1741"/>
      <c r="T8" s="1740"/>
      <c r="U8" s="1740"/>
    </row>
    <row r="9" spans="1:21" s="660" customFormat="1" ht="79.5" customHeight="1">
      <c r="A9" s="1750"/>
      <c r="B9" s="1751"/>
      <c r="C9" s="1740"/>
      <c r="D9" s="659" t="s">
        <v>616</v>
      </c>
      <c r="E9" s="659" t="s">
        <v>617</v>
      </c>
      <c r="F9" s="1745"/>
      <c r="G9" s="659" t="s">
        <v>618</v>
      </c>
      <c r="H9" s="659" t="s">
        <v>619</v>
      </c>
      <c r="I9" s="1745"/>
      <c r="J9" s="659" t="s">
        <v>620</v>
      </c>
      <c r="K9" s="659" t="s">
        <v>621</v>
      </c>
      <c r="L9" s="1740"/>
      <c r="M9" s="659" t="s">
        <v>622</v>
      </c>
      <c r="N9" s="659" t="s">
        <v>623</v>
      </c>
      <c r="O9" s="659" t="s">
        <v>624</v>
      </c>
      <c r="P9" s="1740"/>
      <c r="Q9" s="1740"/>
      <c r="R9" s="1745"/>
      <c r="S9" s="1741"/>
      <c r="T9" s="1740"/>
      <c r="U9" s="1740"/>
    </row>
    <row r="10" spans="1:21" ht="12.75">
      <c r="A10" s="661"/>
      <c r="B10" s="662" t="s">
        <v>597</v>
      </c>
      <c r="C10" s="663">
        <v>1</v>
      </c>
      <c r="D10" s="663">
        <v>2</v>
      </c>
      <c r="E10" s="663">
        <v>3</v>
      </c>
      <c r="F10" s="664">
        <v>4</v>
      </c>
      <c r="G10" s="665">
        <v>5</v>
      </c>
      <c r="H10" s="664">
        <v>6</v>
      </c>
      <c r="I10" s="665">
        <v>7</v>
      </c>
      <c r="J10" s="664">
        <v>8</v>
      </c>
      <c r="K10" s="665">
        <v>9</v>
      </c>
      <c r="L10" s="664">
        <v>10</v>
      </c>
      <c r="M10" s="665">
        <v>11</v>
      </c>
      <c r="N10" s="664">
        <v>12</v>
      </c>
      <c r="O10" s="665">
        <v>13</v>
      </c>
      <c r="P10" s="664">
        <v>14</v>
      </c>
      <c r="Q10" s="665">
        <v>15</v>
      </c>
      <c r="R10" s="664">
        <v>16</v>
      </c>
      <c r="S10" s="665">
        <v>17</v>
      </c>
      <c r="T10" s="664">
        <v>18</v>
      </c>
      <c r="U10" s="665">
        <v>19</v>
      </c>
    </row>
    <row r="11" spans="1:21" s="660" customFormat="1" ht="15.75" customHeight="1">
      <c r="A11" s="1743" t="s">
        <v>37</v>
      </c>
      <c r="B11" s="1744"/>
      <c r="C11" s="623">
        <v>0</v>
      </c>
      <c r="D11" s="623">
        <v>0</v>
      </c>
      <c r="E11" s="623">
        <v>0</v>
      </c>
      <c r="F11" s="623">
        <v>0</v>
      </c>
      <c r="G11" s="623">
        <v>0</v>
      </c>
      <c r="H11" s="623">
        <v>0</v>
      </c>
      <c r="I11" s="623">
        <v>0</v>
      </c>
      <c r="J11" s="623">
        <v>0</v>
      </c>
      <c r="K11" s="623">
        <v>0</v>
      </c>
      <c r="L11" s="623">
        <v>0</v>
      </c>
      <c r="M11" s="623">
        <v>0</v>
      </c>
      <c r="N11" s="623">
        <v>0</v>
      </c>
      <c r="O11" s="623">
        <v>0</v>
      </c>
      <c r="P11" s="623">
        <v>0</v>
      </c>
      <c r="Q11" s="623">
        <v>0</v>
      </c>
      <c r="R11" s="623">
        <v>0</v>
      </c>
      <c r="S11" s="623">
        <v>0</v>
      </c>
      <c r="T11" s="623">
        <v>0</v>
      </c>
      <c r="U11" s="623">
        <v>0</v>
      </c>
    </row>
    <row r="12" spans="1:21" s="660" customFormat="1" ht="22.5" customHeight="1">
      <c r="A12" s="667" t="s">
        <v>0</v>
      </c>
      <c r="B12" s="668" t="s">
        <v>226</v>
      </c>
      <c r="C12" s="774">
        <v>0</v>
      </c>
      <c r="D12" s="775">
        <v>0</v>
      </c>
      <c r="E12" s="775">
        <v>0</v>
      </c>
      <c r="F12" s="774">
        <v>0</v>
      </c>
      <c r="G12" s="775">
        <v>0</v>
      </c>
      <c r="H12" s="775">
        <v>0</v>
      </c>
      <c r="I12" s="774">
        <v>0</v>
      </c>
      <c r="J12" s="775">
        <v>0</v>
      </c>
      <c r="K12" s="775">
        <v>0</v>
      </c>
      <c r="L12" s="774">
        <v>0</v>
      </c>
      <c r="M12" s="775">
        <v>0</v>
      </c>
      <c r="N12" s="775">
        <v>0</v>
      </c>
      <c r="O12" s="775">
        <v>0</v>
      </c>
      <c r="P12" s="774">
        <v>0</v>
      </c>
      <c r="Q12" s="775">
        <v>0</v>
      </c>
      <c r="R12" s="775">
        <v>0</v>
      </c>
      <c r="S12" s="775">
        <v>0</v>
      </c>
      <c r="T12" s="775">
        <v>0</v>
      </c>
      <c r="U12" s="775">
        <v>0</v>
      </c>
    </row>
    <row r="13" spans="1:21" s="660" customFormat="1" ht="22.5" customHeight="1">
      <c r="A13" s="670" t="s">
        <v>1</v>
      </c>
      <c r="B13" s="628" t="s">
        <v>18</v>
      </c>
      <c r="C13" s="774">
        <v>0</v>
      </c>
      <c r="D13" s="774"/>
      <c r="E13" s="774"/>
      <c r="F13" s="774"/>
      <c r="G13" s="774"/>
      <c r="H13" s="774"/>
      <c r="I13" s="774"/>
      <c r="J13" s="774"/>
      <c r="K13" s="774"/>
      <c r="L13" s="774"/>
      <c r="M13" s="774"/>
      <c r="N13" s="774"/>
      <c r="O13" s="774"/>
      <c r="P13" s="774"/>
      <c r="Q13" s="774"/>
      <c r="R13" s="774"/>
      <c r="S13" s="774"/>
      <c r="T13" s="774"/>
      <c r="U13" s="774"/>
    </row>
    <row r="14" spans="1:21" s="660" customFormat="1" ht="22.5" customHeight="1">
      <c r="A14" s="671">
        <v>1</v>
      </c>
      <c r="B14" s="837" t="s">
        <v>714</v>
      </c>
      <c r="C14" s="774">
        <v>0</v>
      </c>
      <c r="D14" s="775"/>
      <c r="E14" s="775"/>
      <c r="F14" s="774"/>
      <c r="G14" s="775"/>
      <c r="H14" s="775"/>
      <c r="I14" s="774"/>
      <c r="J14" s="775"/>
      <c r="K14" s="775"/>
      <c r="L14" s="774"/>
      <c r="M14" s="775"/>
      <c r="N14" s="775"/>
      <c r="O14" s="775"/>
      <c r="P14" s="774"/>
      <c r="Q14" s="775"/>
      <c r="R14" s="775"/>
      <c r="S14" s="775"/>
      <c r="T14" s="775"/>
      <c r="U14" s="775"/>
    </row>
    <row r="15" spans="1:21" s="660" customFormat="1" ht="22.5" customHeight="1">
      <c r="A15" s="671">
        <v>2</v>
      </c>
      <c r="B15" s="837" t="s">
        <v>715</v>
      </c>
      <c r="C15" s="774">
        <v>0</v>
      </c>
      <c r="D15" s="775"/>
      <c r="E15" s="775"/>
      <c r="F15" s="774"/>
      <c r="G15" s="775"/>
      <c r="H15" s="775"/>
      <c r="I15" s="774"/>
      <c r="J15" s="775"/>
      <c r="K15" s="775"/>
      <c r="L15" s="774"/>
      <c r="M15" s="775"/>
      <c r="N15" s="775"/>
      <c r="O15" s="775"/>
      <c r="P15" s="774"/>
      <c r="Q15" s="775"/>
      <c r="R15" s="775"/>
      <c r="S15" s="775"/>
      <c r="T15" s="775"/>
      <c r="U15" s="775"/>
    </row>
    <row r="16" spans="1:21" s="660" customFormat="1" ht="22.5" customHeight="1">
      <c r="A16" s="671">
        <v>3</v>
      </c>
      <c r="B16" s="837" t="s">
        <v>716</v>
      </c>
      <c r="C16" s="774">
        <v>0</v>
      </c>
      <c r="D16" s="775"/>
      <c r="E16" s="775"/>
      <c r="F16" s="774"/>
      <c r="G16" s="775"/>
      <c r="H16" s="775"/>
      <c r="I16" s="774"/>
      <c r="J16" s="775"/>
      <c r="K16" s="775"/>
      <c r="L16" s="774"/>
      <c r="M16" s="775"/>
      <c r="N16" s="775"/>
      <c r="O16" s="775"/>
      <c r="P16" s="774"/>
      <c r="Q16" s="775"/>
      <c r="R16" s="775"/>
      <c r="S16" s="775"/>
      <c r="T16" s="775"/>
      <c r="U16" s="775"/>
    </row>
    <row r="17" spans="1:21" s="660" customFormat="1" ht="22.5" customHeight="1">
      <c r="A17" s="671">
        <v>4</v>
      </c>
      <c r="B17" s="837" t="s">
        <v>717</v>
      </c>
      <c r="C17" s="774">
        <v>0</v>
      </c>
      <c r="D17" s="775"/>
      <c r="E17" s="775"/>
      <c r="F17" s="774"/>
      <c r="G17" s="775"/>
      <c r="H17" s="775"/>
      <c r="I17" s="774"/>
      <c r="J17" s="775"/>
      <c r="K17" s="775"/>
      <c r="L17" s="774"/>
      <c r="M17" s="775"/>
      <c r="N17" s="775"/>
      <c r="O17" s="775"/>
      <c r="P17" s="774"/>
      <c r="Q17" s="775"/>
      <c r="R17" s="775"/>
      <c r="S17" s="775"/>
      <c r="T17" s="775"/>
      <c r="U17" s="775"/>
    </row>
    <row r="18" spans="1:21" s="660" customFormat="1" ht="22.5" customHeight="1">
      <c r="A18" s="671">
        <v>5</v>
      </c>
      <c r="B18" s="837" t="s">
        <v>718</v>
      </c>
      <c r="C18" s="774">
        <v>0</v>
      </c>
      <c r="D18" s="775"/>
      <c r="E18" s="775"/>
      <c r="F18" s="774"/>
      <c r="G18" s="775"/>
      <c r="H18" s="775"/>
      <c r="I18" s="774"/>
      <c r="J18" s="775"/>
      <c r="K18" s="775"/>
      <c r="L18" s="774"/>
      <c r="M18" s="775"/>
      <c r="N18" s="775"/>
      <c r="O18" s="775"/>
      <c r="P18" s="774"/>
      <c r="Q18" s="775"/>
      <c r="R18" s="775"/>
      <c r="S18" s="775"/>
      <c r="T18" s="775"/>
      <c r="U18" s="775"/>
    </row>
    <row r="19" spans="1:21" s="660" customFormat="1" ht="22.5" customHeight="1">
      <c r="A19" s="671">
        <v>6</v>
      </c>
      <c r="B19" s="837" t="s">
        <v>719</v>
      </c>
      <c r="C19" s="774">
        <v>0</v>
      </c>
      <c r="D19" s="775"/>
      <c r="E19" s="775"/>
      <c r="F19" s="774"/>
      <c r="G19" s="775"/>
      <c r="H19" s="775"/>
      <c r="I19" s="774"/>
      <c r="J19" s="775"/>
      <c r="K19" s="775"/>
      <c r="L19" s="774"/>
      <c r="M19" s="775"/>
      <c r="N19" s="775"/>
      <c r="O19" s="775"/>
      <c r="P19" s="774"/>
      <c r="Q19" s="775"/>
      <c r="R19" s="775"/>
      <c r="S19" s="775"/>
      <c r="T19" s="775"/>
      <c r="U19" s="775"/>
    </row>
    <row r="20" spans="1:21" s="660" customFormat="1" ht="22.5" customHeight="1">
      <c r="A20" s="671">
        <v>7</v>
      </c>
      <c r="B20" s="837" t="s">
        <v>720</v>
      </c>
      <c r="C20" s="774">
        <v>0</v>
      </c>
      <c r="D20" s="775"/>
      <c r="E20" s="775"/>
      <c r="F20" s="774"/>
      <c r="G20" s="775"/>
      <c r="H20" s="775"/>
      <c r="I20" s="774"/>
      <c r="J20" s="775"/>
      <c r="K20" s="775"/>
      <c r="L20" s="774"/>
      <c r="M20" s="775"/>
      <c r="N20" s="775"/>
      <c r="O20" s="775"/>
      <c r="P20" s="774"/>
      <c r="Q20" s="775"/>
      <c r="R20" s="775"/>
      <c r="S20" s="775"/>
      <c r="T20" s="775"/>
      <c r="U20" s="775"/>
    </row>
    <row r="21" spans="1:21" ht="26.25" customHeight="1">
      <c r="A21" s="672"/>
      <c r="B21" s="1742"/>
      <c r="C21" s="1742"/>
      <c r="D21" s="1742"/>
      <c r="E21" s="1742"/>
      <c r="F21" s="1742"/>
      <c r="G21" s="1742"/>
      <c r="H21" s="673"/>
      <c r="I21" s="673"/>
      <c r="J21" s="673"/>
      <c r="K21" s="673"/>
      <c r="L21" s="673"/>
      <c r="M21" s="674"/>
      <c r="N21" s="1720" t="str">
        <f>'Thong tin'!B8</f>
        <v>Tuyên Quang, ngày 05 tháng 04 năm 2017</v>
      </c>
      <c r="O21" s="1720"/>
      <c r="P21" s="1720"/>
      <c r="Q21" s="1720"/>
      <c r="R21" s="1720"/>
      <c r="S21" s="1720"/>
      <c r="T21" s="1720"/>
      <c r="U21" s="1720"/>
    </row>
    <row r="22" spans="1:21" ht="18.75" customHeight="1">
      <c r="A22" s="672"/>
      <c r="B22" s="1739" t="s">
        <v>625</v>
      </c>
      <c r="C22" s="1739"/>
      <c r="D22" s="1739"/>
      <c r="E22" s="1739"/>
      <c r="F22" s="1739"/>
      <c r="G22" s="675"/>
      <c r="H22" s="676"/>
      <c r="I22" s="676"/>
      <c r="J22" s="676"/>
      <c r="K22" s="676"/>
      <c r="L22" s="676"/>
      <c r="M22" s="677"/>
      <c r="N22" s="1722" t="str">
        <f>'Thong tin'!B7</f>
        <v>CỤC TRƯỞNG</v>
      </c>
      <c r="O22" s="1713"/>
      <c r="P22" s="1713"/>
      <c r="Q22" s="1713"/>
      <c r="R22" s="1713"/>
      <c r="S22" s="1713"/>
      <c r="T22" s="1713"/>
      <c r="U22" s="1713"/>
    </row>
    <row r="23" spans="1:21" ht="18.75" customHeight="1">
      <c r="A23" s="680"/>
      <c r="B23" s="1735"/>
      <c r="C23" s="1735"/>
      <c r="D23" s="1735"/>
      <c r="E23" s="1735"/>
      <c r="F23" s="1735"/>
      <c r="G23" s="681"/>
      <c r="H23" s="681"/>
      <c r="I23" s="681"/>
      <c r="J23" s="681"/>
      <c r="K23" s="681"/>
      <c r="L23" s="681"/>
      <c r="M23" s="681"/>
      <c r="N23" s="1736"/>
      <c r="O23" s="1736"/>
      <c r="P23" s="1736"/>
      <c r="Q23" s="1736"/>
      <c r="R23" s="1736"/>
      <c r="S23" s="1736"/>
      <c r="T23" s="1736"/>
      <c r="U23" s="1736"/>
    </row>
    <row r="24" spans="2:21" ht="31.5" customHeight="1">
      <c r="B24" s="1737"/>
      <c r="C24" s="1737"/>
      <c r="D24" s="1737"/>
      <c r="E24" s="1737"/>
      <c r="F24" s="1737"/>
      <c r="G24" s="677"/>
      <c r="H24" s="677"/>
      <c r="I24" s="677"/>
      <c r="J24" s="677"/>
      <c r="K24" s="677"/>
      <c r="L24" s="677"/>
      <c r="M24" s="677"/>
      <c r="N24" s="677"/>
      <c r="O24" s="677"/>
      <c r="P24" s="1737"/>
      <c r="Q24" s="1737"/>
      <c r="R24" s="1737"/>
      <c r="S24" s="1737"/>
      <c r="T24" s="677"/>
      <c r="U24" s="677"/>
    </row>
    <row r="25" spans="2:21" ht="18">
      <c r="B25" s="677"/>
      <c r="C25" s="677"/>
      <c r="D25" s="677"/>
      <c r="E25" s="677"/>
      <c r="F25" s="677"/>
      <c r="G25" s="677"/>
      <c r="H25" s="677"/>
      <c r="I25" s="677"/>
      <c r="J25" s="677"/>
      <c r="K25" s="677"/>
      <c r="L25" s="677"/>
      <c r="M25" s="677"/>
      <c r="N25" s="677"/>
      <c r="O25" s="677"/>
      <c r="P25" s="677"/>
      <c r="Q25" s="677"/>
      <c r="R25" s="677"/>
      <c r="S25" s="677"/>
      <c r="T25" s="677"/>
      <c r="U25" s="677"/>
    </row>
    <row r="26" spans="2:21" ht="18">
      <c r="B26" s="677"/>
      <c r="C26" s="677"/>
      <c r="D26" s="677"/>
      <c r="E26" s="677"/>
      <c r="F26" s="677"/>
      <c r="G26" s="677"/>
      <c r="H26" s="677"/>
      <c r="I26" s="677"/>
      <c r="J26" s="677"/>
      <c r="K26" s="677"/>
      <c r="L26" s="677"/>
      <c r="M26" s="677"/>
      <c r="N26" s="677"/>
      <c r="O26" s="677"/>
      <c r="P26" s="677"/>
      <c r="Q26" s="677"/>
      <c r="R26" s="677"/>
      <c r="S26" s="677"/>
      <c r="T26" s="677"/>
      <c r="U26" s="677"/>
    </row>
    <row r="27" spans="2:21" ht="18.75">
      <c r="B27" s="1694" t="str">
        <f>'Thong tin'!B5</f>
        <v>Duy Thị Thúy</v>
      </c>
      <c r="C27" s="1694"/>
      <c r="D27" s="1694"/>
      <c r="E27" s="1694"/>
      <c r="F27" s="1694"/>
      <c r="G27" s="1694"/>
      <c r="H27" s="682"/>
      <c r="I27" s="635"/>
      <c r="J27" s="635"/>
      <c r="K27" s="635"/>
      <c r="L27" s="635"/>
      <c r="M27" s="635"/>
      <c r="N27" s="1634" t="str">
        <f>'Thong tin'!B6</f>
        <v>Nguyễn Tuyên </v>
      </c>
      <c r="O27" s="1634"/>
      <c r="P27" s="1634"/>
      <c r="Q27" s="1634"/>
      <c r="R27" s="1634"/>
      <c r="S27" s="1634"/>
      <c r="T27" s="1634"/>
      <c r="U27" s="1634"/>
    </row>
    <row r="28" ht="12.75" hidden="1"/>
    <row r="29" spans="1:20" ht="13.5" hidden="1">
      <c r="A29" s="683" t="s">
        <v>224</v>
      </c>
      <c r="O29" s="1738"/>
      <c r="P29" s="1738"/>
      <c r="Q29" s="1738"/>
      <c r="R29" s="1738"/>
      <c r="S29" s="1738"/>
      <c r="T29" s="1738"/>
    </row>
    <row r="30" spans="2:14" ht="12.75" customHeight="1" hidden="1">
      <c r="B30" s="1734" t="s">
        <v>626</v>
      </c>
      <c r="C30" s="1734"/>
      <c r="D30" s="1734"/>
      <c r="E30" s="1734"/>
      <c r="F30" s="1734"/>
      <c r="G30" s="1734"/>
      <c r="H30" s="1734"/>
      <c r="I30" s="1734"/>
      <c r="J30" s="1734"/>
      <c r="K30" s="1734"/>
      <c r="L30" s="684"/>
      <c r="M30" s="684"/>
      <c r="N30" s="684"/>
    </row>
    <row r="31" spans="1:14" ht="12.75" customHeight="1" hidden="1">
      <c r="A31" s="684"/>
      <c r="B31" s="685" t="s">
        <v>627</v>
      </c>
      <c r="C31" s="684"/>
      <c r="D31" s="684"/>
      <c r="E31" s="684"/>
      <c r="F31" s="684"/>
      <c r="G31" s="684"/>
      <c r="H31" s="684"/>
      <c r="I31" s="684"/>
      <c r="J31" s="684"/>
      <c r="K31" s="684"/>
      <c r="L31" s="684"/>
      <c r="M31" s="684"/>
      <c r="N31" s="684"/>
    </row>
    <row r="32" spans="2:14" ht="12.75" customHeight="1" hidden="1">
      <c r="B32" s="686" t="s">
        <v>628</v>
      </c>
      <c r="C32" s="637"/>
      <c r="D32" s="637"/>
      <c r="E32" s="637"/>
      <c r="F32" s="637"/>
      <c r="G32" s="637"/>
      <c r="H32" s="637"/>
      <c r="I32" s="637"/>
      <c r="J32" s="637"/>
      <c r="K32" s="637"/>
      <c r="L32" s="637"/>
      <c r="M32" s="637"/>
      <c r="N32" s="637"/>
    </row>
  </sheetData>
  <sheetProtection/>
  <mergeCells count="44">
    <mergeCell ref="T7:T9"/>
    <mergeCell ref="P1:U1"/>
    <mergeCell ref="A2:E2"/>
    <mergeCell ref="A3:E3"/>
    <mergeCell ref="F3:N3"/>
    <mergeCell ref="A1:D1"/>
    <mergeCell ref="F1:N2"/>
    <mergeCell ref="P2:U2"/>
    <mergeCell ref="R7:R9"/>
    <mergeCell ref="P5:U5"/>
    <mergeCell ref="D4:O4"/>
    <mergeCell ref="A5:B9"/>
    <mergeCell ref="C5:E7"/>
    <mergeCell ref="F5:O5"/>
    <mergeCell ref="F8:F9"/>
    <mergeCell ref="G8:H8"/>
    <mergeCell ref="A11:B11"/>
    <mergeCell ref="C8:C9"/>
    <mergeCell ref="D8:E8"/>
    <mergeCell ref="I8:I9"/>
    <mergeCell ref="Q6:U6"/>
    <mergeCell ref="I7:K7"/>
    <mergeCell ref="F6:H7"/>
    <mergeCell ref="I6:O6"/>
    <mergeCell ref="P6:P9"/>
    <mergeCell ref="J8:K8"/>
    <mergeCell ref="B22:F22"/>
    <mergeCell ref="N22:U22"/>
    <mergeCell ref="S7:S9"/>
    <mergeCell ref="Q7:Q9"/>
    <mergeCell ref="B21:G21"/>
    <mergeCell ref="N21:U21"/>
    <mergeCell ref="U7:U9"/>
    <mergeCell ref="L8:L9"/>
    <mergeCell ref="M8:O8"/>
    <mergeCell ref="L7:O7"/>
    <mergeCell ref="B30:K30"/>
    <mergeCell ref="B23:F23"/>
    <mergeCell ref="N23:U23"/>
    <mergeCell ref="B24:F24"/>
    <mergeCell ref="P24:S24"/>
    <mergeCell ref="B27:G27"/>
    <mergeCell ref="N27:U27"/>
    <mergeCell ref="O29:T29"/>
  </mergeCells>
  <printOptions horizontalCentered="1"/>
  <pageMargins left="0.33" right="0.35" top="0.29" bottom="0.21" header="0.13" footer="0.15"/>
  <pageSetup horizontalDpi="600" verticalDpi="600" orientation="landscape" paperSize="9" scale="85"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2"/>
  <sheetViews>
    <sheetView showZeros="0" zoomScalePageLayoutView="0" workbookViewId="0" topLeftCell="A10">
      <selection activeCell="C12" sqref="C12"/>
    </sheetView>
  </sheetViews>
  <sheetFormatPr defaultColWidth="9.00390625" defaultRowHeight="15.75"/>
  <cols>
    <col min="1" max="1" width="3.625" style="637" customWidth="1"/>
    <col min="2" max="2" width="25.125" style="637" customWidth="1"/>
    <col min="3" max="3" width="7.125" style="637" customWidth="1"/>
    <col min="4" max="4" width="6.875" style="637" customWidth="1"/>
    <col min="5" max="8" width="5.00390625" style="637" customWidth="1"/>
    <col min="9" max="9" width="4.00390625" style="637" customWidth="1"/>
    <col min="10" max="10" width="5.00390625" style="637" customWidth="1"/>
    <col min="11" max="11" width="5.75390625" style="637" customWidth="1"/>
    <col min="12" max="12" width="5.375" style="637" customWidth="1"/>
    <col min="13" max="13" width="5.00390625" style="637" customWidth="1"/>
    <col min="14" max="14" width="4.25390625" style="637" customWidth="1"/>
    <col min="15" max="15" width="5.00390625" style="637" customWidth="1"/>
    <col min="16" max="16" width="5.75390625" style="637" customWidth="1"/>
    <col min="17" max="19" width="5.00390625" style="637" customWidth="1"/>
    <col min="20" max="20" width="9.25390625" style="637" customWidth="1"/>
    <col min="21" max="21" width="0" style="637" hidden="1" customWidth="1"/>
    <col min="22" max="16384" width="9.00390625" style="637" customWidth="1"/>
  </cols>
  <sheetData>
    <row r="1" spans="1:21" ht="16.5" customHeight="1">
      <c r="A1" s="1729" t="s">
        <v>227</v>
      </c>
      <c r="B1" s="1729"/>
      <c r="C1" s="1729"/>
      <c r="D1" s="1730" t="s">
        <v>419</v>
      </c>
      <c r="E1" s="1780"/>
      <c r="F1" s="1780"/>
      <c r="G1" s="1780"/>
      <c r="H1" s="1780"/>
      <c r="I1" s="1780"/>
      <c r="J1" s="1780"/>
      <c r="K1" s="1780"/>
      <c r="L1" s="1780"/>
      <c r="M1" s="1780"/>
      <c r="N1" s="1780"/>
      <c r="O1" s="687"/>
      <c r="P1" s="767" t="s">
        <v>649</v>
      </c>
      <c r="Q1" s="608"/>
      <c r="R1" s="608"/>
      <c r="S1" s="608"/>
      <c r="T1" s="608"/>
      <c r="U1" s="687"/>
    </row>
    <row r="2" spans="1:21" ht="16.5" customHeight="1">
      <c r="A2" s="1781" t="s">
        <v>727</v>
      </c>
      <c r="B2" s="1781"/>
      <c r="C2" s="1781"/>
      <c r="D2" s="1780"/>
      <c r="E2" s="1780"/>
      <c r="F2" s="1780"/>
      <c r="G2" s="1780"/>
      <c r="H2" s="1780"/>
      <c r="I2" s="1780"/>
      <c r="J2" s="1780"/>
      <c r="K2" s="1780"/>
      <c r="L2" s="1780"/>
      <c r="M2" s="1780"/>
      <c r="N2" s="1780"/>
      <c r="O2" s="687"/>
      <c r="P2" s="1791" t="str">
        <f>'Thong tin'!B4</f>
        <v>Cục THADS tỉnh Tuyên Quang</v>
      </c>
      <c r="Q2" s="1791"/>
      <c r="R2" s="1791"/>
      <c r="S2" s="1791"/>
      <c r="T2" s="1791"/>
      <c r="U2" s="687"/>
    </row>
    <row r="3" spans="1:21" ht="16.5" customHeight="1">
      <c r="A3" s="1731" t="s">
        <v>728</v>
      </c>
      <c r="B3" s="1731"/>
      <c r="C3" s="1731"/>
      <c r="D3" s="1732" t="str">
        <f>'Thong tin'!B3</f>
        <v>06 tháng / năm 2017</v>
      </c>
      <c r="E3" s="1732"/>
      <c r="F3" s="1732"/>
      <c r="G3" s="1732"/>
      <c r="H3" s="1732"/>
      <c r="I3" s="1732"/>
      <c r="J3" s="1732"/>
      <c r="K3" s="1732"/>
      <c r="L3" s="1732"/>
      <c r="M3" s="1732"/>
      <c r="N3" s="1732"/>
      <c r="O3" s="687"/>
      <c r="P3" s="765" t="s">
        <v>468</v>
      </c>
      <c r="Q3" s="776"/>
      <c r="R3" s="776"/>
      <c r="S3" s="776"/>
      <c r="T3" s="776"/>
      <c r="U3" s="687"/>
    </row>
    <row r="4" spans="1:21" ht="16.5" customHeight="1">
      <c r="A4" s="1792" t="s">
        <v>362</v>
      </c>
      <c r="B4" s="1792"/>
      <c r="C4" s="1792"/>
      <c r="D4" s="1793"/>
      <c r="E4" s="1793"/>
      <c r="F4" s="1793"/>
      <c r="G4" s="1793"/>
      <c r="H4" s="1793"/>
      <c r="I4" s="1793"/>
      <c r="J4" s="1793"/>
      <c r="K4" s="1793"/>
      <c r="L4" s="1793"/>
      <c r="M4" s="1793"/>
      <c r="N4" s="1793"/>
      <c r="O4" s="687"/>
      <c r="P4" s="766" t="s">
        <v>401</v>
      </c>
      <c r="Q4" s="776"/>
      <c r="R4" s="776"/>
      <c r="S4" s="776"/>
      <c r="T4" s="776"/>
      <c r="U4" s="687"/>
    </row>
    <row r="5" spans="12:21" ht="16.5" customHeight="1">
      <c r="L5" s="688"/>
      <c r="M5" s="688"/>
      <c r="N5" s="688"/>
      <c r="O5" s="615"/>
      <c r="P5" s="614" t="s">
        <v>424</v>
      </c>
      <c r="Q5" s="615"/>
      <c r="R5" s="615"/>
      <c r="S5" s="615"/>
      <c r="T5" s="615"/>
      <c r="U5" s="608"/>
    </row>
    <row r="6" spans="1:21" ht="15.75" customHeight="1">
      <c r="A6" s="1784" t="s">
        <v>71</v>
      </c>
      <c r="B6" s="1785"/>
      <c r="C6" s="1777" t="s">
        <v>760</v>
      </c>
      <c r="D6" s="1783" t="s">
        <v>229</v>
      </c>
      <c r="E6" s="1782"/>
      <c r="F6" s="1782"/>
      <c r="G6" s="1782"/>
      <c r="H6" s="1782"/>
      <c r="I6" s="1782"/>
      <c r="J6" s="1782"/>
      <c r="K6" s="1782"/>
      <c r="L6" s="1782"/>
      <c r="M6" s="1782"/>
      <c r="N6" s="1782"/>
      <c r="O6" s="1782"/>
      <c r="P6" s="1782"/>
      <c r="Q6" s="1782"/>
      <c r="R6" s="1782"/>
      <c r="S6" s="1771"/>
      <c r="T6" s="1775" t="s">
        <v>761</v>
      </c>
      <c r="U6" s="690"/>
    </row>
    <row r="7" spans="1:20" s="691" customFormat="1" ht="12.75" customHeight="1">
      <c r="A7" s="1786"/>
      <c r="B7" s="1787"/>
      <c r="C7" s="1790"/>
      <c r="D7" s="1777" t="s">
        <v>762</v>
      </c>
      <c r="E7" s="1783" t="s">
        <v>7</v>
      </c>
      <c r="F7" s="1782"/>
      <c r="G7" s="1782"/>
      <c r="H7" s="1782"/>
      <c r="I7" s="1782"/>
      <c r="J7" s="1782"/>
      <c r="K7" s="1782"/>
      <c r="L7" s="1782"/>
      <c r="M7" s="1782"/>
      <c r="N7" s="1782"/>
      <c r="O7" s="1782"/>
      <c r="P7" s="1782"/>
      <c r="Q7" s="1782"/>
      <c r="R7" s="1782"/>
      <c r="S7" s="1771"/>
      <c r="T7" s="1779"/>
    </row>
    <row r="8" spans="1:21" s="691" customFormat="1" ht="43.5" customHeight="1">
      <c r="A8" s="1786"/>
      <c r="B8" s="1787"/>
      <c r="C8" s="1790"/>
      <c r="D8" s="1790"/>
      <c r="E8" s="1770" t="s">
        <v>763</v>
      </c>
      <c r="F8" s="1782"/>
      <c r="G8" s="1771"/>
      <c r="H8" s="1770" t="s">
        <v>764</v>
      </c>
      <c r="I8" s="1782"/>
      <c r="J8" s="1771"/>
      <c r="K8" s="1770" t="s">
        <v>765</v>
      </c>
      <c r="L8" s="1771"/>
      <c r="M8" s="1772" t="s">
        <v>766</v>
      </c>
      <c r="N8" s="1773"/>
      <c r="O8" s="1774"/>
      <c r="P8" s="1775" t="s">
        <v>767</v>
      </c>
      <c r="Q8" s="1777" t="s">
        <v>768</v>
      </c>
      <c r="R8" s="1777" t="s">
        <v>769</v>
      </c>
      <c r="S8" s="1777" t="s">
        <v>770</v>
      </c>
      <c r="T8" s="1779"/>
      <c r="U8" s="1768" t="s">
        <v>425</v>
      </c>
    </row>
    <row r="9" spans="1:21" s="691" customFormat="1" ht="44.25" customHeight="1">
      <c r="A9" s="1788"/>
      <c r="B9" s="1789"/>
      <c r="C9" s="1778"/>
      <c r="D9" s="1778"/>
      <c r="E9" s="979" t="s">
        <v>771</v>
      </c>
      <c r="F9" s="979" t="s">
        <v>772</v>
      </c>
      <c r="G9" s="979" t="s">
        <v>773</v>
      </c>
      <c r="H9" s="979" t="s">
        <v>774</v>
      </c>
      <c r="I9" s="979" t="s">
        <v>775</v>
      </c>
      <c r="J9" s="979" t="s">
        <v>776</v>
      </c>
      <c r="K9" s="979" t="s">
        <v>772</v>
      </c>
      <c r="L9" s="979" t="s">
        <v>777</v>
      </c>
      <c r="M9" s="980" t="s">
        <v>245</v>
      </c>
      <c r="N9" s="981" t="s">
        <v>246</v>
      </c>
      <c r="O9" s="981" t="s">
        <v>272</v>
      </c>
      <c r="P9" s="1776"/>
      <c r="Q9" s="1778"/>
      <c r="R9" s="1778"/>
      <c r="S9" s="1778"/>
      <c r="T9" s="1776"/>
      <c r="U9" s="1769"/>
    </row>
    <row r="10" spans="1:21" s="694" customFormat="1" ht="15.75" customHeight="1">
      <c r="A10" s="1761" t="s">
        <v>6</v>
      </c>
      <c r="B10" s="1762"/>
      <c r="C10" s="982">
        <v>1</v>
      </c>
      <c r="D10" s="982">
        <v>2</v>
      </c>
      <c r="E10" s="982">
        <v>3</v>
      </c>
      <c r="F10" s="982">
        <v>4</v>
      </c>
      <c r="G10" s="982">
        <v>5</v>
      </c>
      <c r="H10" s="982">
        <v>6</v>
      </c>
      <c r="I10" s="982">
        <v>7</v>
      </c>
      <c r="J10" s="982">
        <v>8</v>
      </c>
      <c r="K10" s="982">
        <v>9</v>
      </c>
      <c r="L10" s="983">
        <v>10</v>
      </c>
      <c r="M10" s="983">
        <v>11</v>
      </c>
      <c r="N10" s="983">
        <v>12</v>
      </c>
      <c r="O10" s="983">
        <v>13</v>
      </c>
      <c r="P10" s="983">
        <v>14</v>
      </c>
      <c r="Q10" s="983">
        <v>15</v>
      </c>
      <c r="R10" s="983">
        <v>16</v>
      </c>
      <c r="S10" s="984">
        <v>17</v>
      </c>
      <c r="T10" s="984">
        <v>18</v>
      </c>
      <c r="U10" s="1769"/>
    </row>
    <row r="11" spans="1:21" s="694" customFormat="1" ht="21" customHeight="1">
      <c r="A11" s="1763" t="s">
        <v>37</v>
      </c>
      <c r="B11" s="1764"/>
      <c r="C11" s="985">
        <f>SUM(C12:C13)</f>
        <v>91</v>
      </c>
      <c r="D11" s="985">
        <f aca="true" t="shared" si="0" ref="D11:O11">SUM(D12:D13)</f>
        <v>91</v>
      </c>
      <c r="E11" s="985">
        <f t="shared" si="0"/>
        <v>1</v>
      </c>
      <c r="F11" s="985">
        <f t="shared" si="0"/>
        <v>11</v>
      </c>
      <c r="G11" s="985">
        <f t="shared" si="0"/>
        <v>28</v>
      </c>
      <c r="H11" s="985">
        <f t="shared" si="0"/>
        <v>0</v>
      </c>
      <c r="I11" s="985">
        <f t="shared" si="0"/>
        <v>0</v>
      </c>
      <c r="J11" s="985">
        <f t="shared" si="0"/>
        <v>8</v>
      </c>
      <c r="K11" s="985">
        <f t="shared" si="0"/>
        <v>7</v>
      </c>
      <c r="L11" s="985">
        <f t="shared" si="0"/>
        <v>14</v>
      </c>
      <c r="M11" s="985">
        <f t="shared" si="0"/>
        <v>0</v>
      </c>
      <c r="N11" s="985">
        <f t="shared" si="0"/>
        <v>0</v>
      </c>
      <c r="O11" s="985">
        <f t="shared" si="0"/>
        <v>2</v>
      </c>
      <c r="P11" s="985">
        <f>SUM(P12:P13)</f>
        <v>2</v>
      </c>
      <c r="Q11" s="985">
        <f>SUM(Q12:Q13)</f>
        <v>11</v>
      </c>
      <c r="R11" s="985">
        <f>SUM(R12:R13)</f>
        <v>0</v>
      </c>
      <c r="S11" s="985">
        <f>SUM(S12:S13)</f>
        <v>7</v>
      </c>
      <c r="T11" s="985">
        <f>SUM(T12:T13)</f>
        <v>0</v>
      </c>
      <c r="U11" s="695">
        <f>D11-'[10]Báo cáo chất lượng CB Mẫu 14'!C14</f>
        <v>-31</v>
      </c>
    </row>
    <row r="12" spans="1:21" s="694" customFormat="1" ht="21" customHeight="1">
      <c r="A12" s="985" t="s">
        <v>0</v>
      </c>
      <c r="B12" s="986" t="s">
        <v>710</v>
      </c>
      <c r="C12" s="981">
        <v>24</v>
      </c>
      <c r="D12" s="981">
        <v>24</v>
      </c>
      <c r="E12" s="981">
        <v>1</v>
      </c>
      <c r="F12" s="981">
        <v>6</v>
      </c>
      <c r="G12" s="981">
        <v>3</v>
      </c>
      <c r="H12" s="981"/>
      <c r="I12" s="981"/>
      <c r="J12" s="981">
        <v>3</v>
      </c>
      <c r="K12" s="981">
        <v>1</v>
      </c>
      <c r="L12" s="981">
        <v>4</v>
      </c>
      <c r="M12" s="981"/>
      <c r="N12" s="981"/>
      <c r="O12" s="981">
        <v>1</v>
      </c>
      <c r="P12" s="981">
        <v>1</v>
      </c>
      <c r="Q12" s="981">
        <v>2</v>
      </c>
      <c r="R12" s="981"/>
      <c r="S12" s="981">
        <v>2</v>
      </c>
      <c r="T12" s="981"/>
      <c r="U12" s="695">
        <f>D12-'[10]Báo cáo chất lượng CB Mẫu 14'!C15</f>
        <v>-1</v>
      </c>
    </row>
    <row r="13" spans="1:21" s="694" customFormat="1" ht="21" customHeight="1">
      <c r="A13" s="985" t="s">
        <v>1</v>
      </c>
      <c r="B13" s="986" t="s">
        <v>18</v>
      </c>
      <c r="C13" s="985">
        <f>SUM(C14:C20)</f>
        <v>67</v>
      </c>
      <c r="D13" s="985">
        <f aca="true" t="shared" si="1" ref="D13:T13">SUM(D14:D20)</f>
        <v>67</v>
      </c>
      <c r="E13" s="985">
        <f t="shared" si="1"/>
        <v>0</v>
      </c>
      <c r="F13" s="985">
        <f t="shared" si="1"/>
        <v>5</v>
      </c>
      <c r="G13" s="985">
        <f t="shared" si="1"/>
        <v>25</v>
      </c>
      <c r="H13" s="985">
        <f t="shared" si="1"/>
        <v>0</v>
      </c>
      <c r="I13" s="985">
        <f t="shared" si="1"/>
        <v>0</v>
      </c>
      <c r="J13" s="985">
        <f t="shared" si="1"/>
        <v>5</v>
      </c>
      <c r="K13" s="985">
        <f t="shared" si="1"/>
        <v>6</v>
      </c>
      <c r="L13" s="985">
        <f t="shared" si="1"/>
        <v>10</v>
      </c>
      <c r="M13" s="985">
        <f t="shared" si="1"/>
        <v>0</v>
      </c>
      <c r="N13" s="985">
        <f t="shared" si="1"/>
        <v>0</v>
      </c>
      <c r="O13" s="985">
        <f t="shared" si="1"/>
        <v>1</v>
      </c>
      <c r="P13" s="985">
        <f t="shared" si="1"/>
        <v>1</v>
      </c>
      <c r="Q13" s="985">
        <f t="shared" si="1"/>
        <v>9</v>
      </c>
      <c r="R13" s="985">
        <f t="shared" si="1"/>
        <v>0</v>
      </c>
      <c r="S13" s="985">
        <f t="shared" si="1"/>
        <v>5</v>
      </c>
      <c r="T13" s="985">
        <f t="shared" si="1"/>
        <v>0</v>
      </c>
      <c r="U13" s="695">
        <f>D13-'[10]Báo cáo chất lượng CB Mẫu 14'!C16</f>
        <v>-30</v>
      </c>
    </row>
    <row r="14" spans="1:21" s="694" customFormat="1" ht="21" customHeight="1">
      <c r="A14" s="981">
        <v>1</v>
      </c>
      <c r="B14" s="987" t="s">
        <v>778</v>
      </c>
      <c r="C14" s="981">
        <v>15</v>
      </c>
      <c r="D14" s="981">
        <v>15</v>
      </c>
      <c r="E14" s="979"/>
      <c r="F14" s="981">
        <v>1</v>
      </c>
      <c r="G14" s="981">
        <v>6</v>
      </c>
      <c r="H14" s="981"/>
      <c r="I14" s="981"/>
      <c r="J14" s="981">
        <v>1</v>
      </c>
      <c r="K14" s="981">
        <v>1</v>
      </c>
      <c r="L14" s="981">
        <v>3</v>
      </c>
      <c r="M14" s="981"/>
      <c r="N14" s="981"/>
      <c r="O14" s="981"/>
      <c r="P14" s="981"/>
      <c r="Q14" s="981">
        <v>2</v>
      </c>
      <c r="R14" s="981"/>
      <c r="S14" s="981">
        <v>1</v>
      </c>
      <c r="T14" s="981"/>
      <c r="U14" s="695">
        <f>D14-'[10]Báo cáo chất lượng CB Mẫu 14'!C17</f>
        <v>7</v>
      </c>
    </row>
    <row r="15" spans="1:21" s="694" customFormat="1" ht="21" customHeight="1">
      <c r="A15" s="981">
        <v>2</v>
      </c>
      <c r="B15" s="987" t="s">
        <v>779</v>
      </c>
      <c r="C15" s="981">
        <v>12</v>
      </c>
      <c r="D15" s="981">
        <v>12</v>
      </c>
      <c r="E15" s="981"/>
      <c r="F15" s="981">
        <v>2</v>
      </c>
      <c r="G15" s="981">
        <v>4</v>
      </c>
      <c r="H15" s="981"/>
      <c r="I15" s="981"/>
      <c r="J15" s="981">
        <v>1</v>
      </c>
      <c r="K15" s="981">
        <v>2</v>
      </c>
      <c r="L15" s="981">
        <v>1</v>
      </c>
      <c r="M15" s="981"/>
      <c r="N15" s="981"/>
      <c r="O15" s="981"/>
      <c r="P15" s="981"/>
      <c r="Q15" s="981">
        <v>1</v>
      </c>
      <c r="R15" s="981"/>
      <c r="S15" s="981">
        <v>1</v>
      </c>
      <c r="T15" s="981"/>
      <c r="U15" s="695">
        <f>D15-'[10]Báo cáo chất lượng CB Mẫu 14'!C18</f>
        <v>5</v>
      </c>
    </row>
    <row r="16" spans="1:21" s="694" customFormat="1" ht="21" customHeight="1">
      <c r="A16" s="981">
        <v>3</v>
      </c>
      <c r="B16" s="987" t="s">
        <v>780</v>
      </c>
      <c r="C16" s="981">
        <v>12</v>
      </c>
      <c r="D16" s="981">
        <v>12</v>
      </c>
      <c r="E16" s="981"/>
      <c r="F16" s="981"/>
      <c r="G16" s="981">
        <v>7</v>
      </c>
      <c r="H16" s="981"/>
      <c r="I16" s="981"/>
      <c r="J16" s="981">
        <v>1</v>
      </c>
      <c r="K16" s="981">
        <v>1</v>
      </c>
      <c r="L16" s="981"/>
      <c r="M16" s="981"/>
      <c r="N16" s="981"/>
      <c r="O16" s="981">
        <v>1</v>
      </c>
      <c r="P16" s="981"/>
      <c r="Q16" s="981">
        <v>2</v>
      </c>
      <c r="R16" s="981"/>
      <c r="S16" s="981"/>
      <c r="T16" s="981"/>
      <c r="U16" s="695">
        <f>D16-'[10]Báo cáo chất lượng CB Mẫu 14'!C19</f>
        <v>-2</v>
      </c>
    </row>
    <row r="17" spans="1:21" s="694" customFormat="1" ht="21" customHeight="1">
      <c r="A17" s="981">
        <v>4</v>
      </c>
      <c r="B17" s="987" t="s">
        <v>781</v>
      </c>
      <c r="C17" s="981">
        <v>8</v>
      </c>
      <c r="D17" s="981">
        <v>8</v>
      </c>
      <c r="E17" s="981"/>
      <c r="F17" s="981"/>
      <c r="G17" s="981">
        <v>3</v>
      </c>
      <c r="H17" s="981"/>
      <c r="I17" s="981"/>
      <c r="J17" s="981">
        <v>1</v>
      </c>
      <c r="K17" s="981"/>
      <c r="L17" s="981">
        <v>2</v>
      </c>
      <c r="M17" s="981"/>
      <c r="N17" s="981"/>
      <c r="O17" s="981"/>
      <c r="P17" s="981"/>
      <c r="Q17" s="981">
        <v>1</v>
      </c>
      <c r="R17" s="981"/>
      <c r="S17" s="981">
        <v>1</v>
      </c>
      <c r="T17" s="981"/>
      <c r="U17" s="695">
        <f>D17-'[10]Báo cáo chất lượng CB Mẫu 14'!C20</f>
        <v>1</v>
      </c>
    </row>
    <row r="18" spans="1:21" s="694" customFormat="1" ht="21" customHeight="1">
      <c r="A18" s="981">
        <v>5</v>
      </c>
      <c r="B18" s="987" t="s">
        <v>782</v>
      </c>
      <c r="C18" s="981">
        <v>9</v>
      </c>
      <c r="D18" s="981">
        <v>9</v>
      </c>
      <c r="E18" s="981"/>
      <c r="F18" s="981">
        <v>1</v>
      </c>
      <c r="G18" s="981">
        <v>2</v>
      </c>
      <c r="H18" s="981"/>
      <c r="I18" s="981"/>
      <c r="J18" s="981"/>
      <c r="K18" s="981">
        <v>2</v>
      </c>
      <c r="L18" s="981">
        <v>2</v>
      </c>
      <c r="M18" s="981"/>
      <c r="N18" s="981"/>
      <c r="O18" s="981"/>
      <c r="P18" s="981"/>
      <c r="Q18" s="981">
        <v>1</v>
      </c>
      <c r="R18" s="981"/>
      <c r="S18" s="981">
        <v>1</v>
      </c>
      <c r="T18" s="981"/>
      <c r="U18" s="695">
        <f>D18-'[10]Báo cáo chất lượng CB Mẫu 14'!C21</f>
        <v>1</v>
      </c>
    </row>
    <row r="19" spans="1:21" s="694" customFormat="1" ht="21" customHeight="1">
      <c r="A19" s="981">
        <v>6</v>
      </c>
      <c r="B19" s="987" t="s">
        <v>783</v>
      </c>
      <c r="C19" s="981">
        <v>6</v>
      </c>
      <c r="D19" s="981">
        <v>6</v>
      </c>
      <c r="E19" s="981"/>
      <c r="F19" s="981">
        <v>1</v>
      </c>
      <c r="G19" s="981">
        <v>1</v>
      </c>
      <c r="H19" s="981"/>
      <c r="I19" s="981"/>
      <c r="J19" s="981">
        <v>1</v>
      </c>
      <c r="K19" s="981"/>
      <c r="L19" s="981">
        <v>1</v>
      </c>
      <c r="M19" s="981"/>
      <c r="N19" s="981"/>
      <c r="O19" s="981"/>
      <c r="P19" s="981"/>
      <c r="Q19" s="981">
        <v>1</v>
      </c>
      <c r="R19" s="981"/>
      <c r="S19" s="981">
        <v>1</v>
      </c>
      <c r="T19" s="981"/>
      <c r="U19" s="695">
        <f>D19-'[10]Báo cáo chất lượng CB Mẫu 14'!C22</f>
        <v>-4</v>
      </c>
    </row>
    <row r="20" spans="1:21" s="694" customFormat="1" ht="21" customHeight="1">
      <c r="A20" s="981">
        <v>7</v>
      </c>
      <c r="B20" s="987" t="s">
        <v>784</v>
      </c>
      <c r="C20" s="981">
        <v>5</v>
      </c>
      <c r="D20" s="981">
        <v>5</v>
      </c>
      <c r="E20" s="981"/>
      <c r="F20" s="981"/>
      <c r="G20" s="981">
        <v>2</v>
      </c>
      <c r="H20" s="981"/>
      <c r="I20" s="981"/>
      <c r="J20" s="981"/>
      <c r="K20" s="981"/>
      <c r="L20" s="981">
        <v>1</v>
      </c>
      <c r="M20" s="981"/>
      <c r="N20" s="981"/>
      <c r="O20" s="981"/>
      <c r="P20" s="981">
        <v>1</v>
      </c>
      <c r="Q20" s="981">
        <v>1</v>
      </c>
      <c r="R20" s="981"/>
      <c r="S20" s="981"/>
      <c r="T20" s="981"/>
      <c r="U20" s="695">
        <f>D20-'[10]Báo cáo chất lượng CB Mẫu 14'!C23</f>
        <v>-2</v>
      </c>
    </row>
    <row r="21" spans="1:20" s="610" customFormat="1" ht="18.75" customHeight="1">
      <c r="A21" s="696"/>
      <c r="B21" s="1765" t="s">
        <v>248</v>
      </c>
      <c r="C21" s="1765"/>
      <c r="D21" s="1765"/>
      <c r="E21" s="697"/>
      <c r="F21" s="636"/>
      <c r="G21" s="636"/>
      <c r="H21" s="636"/>
      <c r="I21" s="636"/>
      <c r="J21" s="636"/>
      <c r="K21" s="636"/>
      <c r="L21" s="635"/>
      <c r="M21" s="1713" t="str">
        <f>'Thong tin'!B7</f>
        <v>CỤC TRƯỞNG</v>
      </c>
      <c r="N21" s="1713"/>
      <c r="O21" s="1713"/>
      <c r="P21" s="1713"/>
      <c r="Q21" s="1713"/>
      <c r="R21" s="1713"/>
      <c r="S21" s="1713"/>
      <c r="T21" s="1713"/>
    </row>
    <row r="22" spans="1:20" s="610" customFormat="1" ht="18.75">
      <c r="A22" s="637"/>
      <c r="B22" s="1735"/>
      <c r="C22" s="1735"/>
      <c r="D22" s="1735"/>
      <c r="E22" s="639"/>
      <c r="F22" s="639"/>
      <c r="G22" s="639"/>
      <c r="H22" s="639"/>
      <c r="I22" s="639"/>
      <c r="J22" s="639"/>
      <c r="K22" s="639"/>
      <c r="L22" s="639"/>
      <c r="M22" s="1713"/>
      <c r="N22" s="1713"/>
      <c r="O22" s="1713"/>
      <c r="P22" s="1713"/>
      <c r="Q22" s="1713"/>
      <c r="R22" s="1713"/>
      <c r="S22" s="1713"/>
      <c r="T22" s="1713"/>
    </row>
    <row r="23" spans="1:20" s="610" customFormat="1" ht="18.75">
      <c r="A23" s="637"/>
      <c r="B23" s="639"/>
      <c r="C23" s="639"/>
      <c r="D23" s="639"/>
      <c r="E23" s="639"/>
      <c r="F23" s="639"/>
      <c r="G23" s="639"/>
      <c r="H23" s="639"/>
      <c r="I23" s="639"/>
      <c r="J23" s="639"/>
      <c r="K23" s="639"/>
      <c r="L23" s="639"/>
      <c r="M23" s="770"/>
      <c r="N23" s="770"/>
      <c r="O23" s="770"/>
      <c r="P23" s="770"/>
      <c r="Q23" s="768"/>
      <c r="R23" s="768"/>
      <c r="S23" s="768"/>
      <c r="T23" s="768"/>
    </row>
    <row r="24" spans="2:20" ht="13.5" customHeight="1" hidden="1">
      <c r="B24" s="639"/>
      <c r="C24" s="639"/>
      <c r="D24" s="639"/>
      <c r="E24" s="639"/>
      <c r="F24" s="639"/>
      <c r="G24" s="639"/>
      <c r="H24" s="639"/>
      <c r="I24" s="639"/>
      <c r="J24" s="639"/>
      <c r="K24" s="639"/>
      <c r="L24" s="639"/>
      <c r="M24" s="770"/>
      <c r="N24" s="770"/>
      <c r="O24" s="770"/>
      <c r="P24" s="770"/>
      <c r="Q24" s="770"/>
      <c r="R24" s="770"/>
      <c r="S24" s="770"/>
      <c r="T24" s="770"/>
    </row>
    <row r="25" spans="1:20" ht="18.75" hidden="1">
      <c r="A25" s="698" t="s">
        <v>250</v>
      </c>
      <c r="B25" s="639"/>
      <c r="C25" s="639"/>
      <c r="D25" s="639"/>
      <c r="E25" s="639"/>
      <c r="F25" s="639"/>
      <c r="G25" s="639"/>
      <c r="H25" s="639"/>
      <c r="I25" s="639"/>
      <c r="J25" s="639"/>
      <c r="K25" s="639"/>
      <c r="L25" s="639"/>
      <c r="M25" s="770"/>
      <c r="N25" s="770"/>
      <c r="O25" s="770"/>
      <c r="P25" s="770"/>
      <c r="Q25" s="770"/>
      <c r="R25" s="770"/>
      <c r="S25" s="770"/>
      <c r="T25" s="770"/>
    </row>
    <row r="26" spans="2:20" ht="18.75" hidden="1">
      <c r="B26" s="699" t="s">
        <v>251</v>
      </c>
      <c r="C26" s="639"/>
      <c r="D26" s="639"/>
      <c r="E26" s="639"/>
      <c r="F26" s="639"/>
      <c r="G26" s="639"/>
      <c r="H26" s="639"/>
      <c r="I26" s="639"/>
      <c r="J26" s="639"/>
      <c r="K26" s="639"/>
      <c r="L26" s="639"/>
      <c r="M26" s="770"/>
      <c r="N26" s="770"/>
      <c r="O26" s="770"/>
      <c r="P26" s="770"/>
      <c r="Q26" s="770"/>
      <c r="R26" s="770"/>
      <c r="S26" s="770"/>
      <c r="T26" s="770"/>
    </row>
    <row r="27" spans="2:20" ht="18.75" hidden="1">
      <c r="B27" s="699" t="s">
        <v>252</v>
      </c>
      <c r="C27" s="639"/>
      <c r="D27" s="639"/>
      <c r="E27" s="639"/>
      <c r="F27" s="639"/>
      <c r="G27" s="639"/>
      <c r="H27" s="639"/>
      <c r="I27" s="639"/>
      <c r="J27" s="639"/>
      <c r="K27" s="639"/>
      <c r="L27" s="639"/>
      <c r="M27" s="770"/>
      <c r="N27" s="770"/>
      <c r="O27" s="770"/>
      <c r="P27" s="770"/>
      <c r="Q27" s="770"/>
      <c r="R27" s="770"/>
      <c r="S27" s="770"/>
      <c r="T27" s="770"/>
    </row>
    <row r="28" spans="2:20" s="686" customFormat="1" ht="18.75">
      <c r="B28" s="1766"/>
      <c r="C28" s="1766"/>
      <c r="D28" s="1766"/>
      <c r="E28" s="699"/>
      <c r="F28" s="699"/>
      <c r="G28" s="699"/>
      <c r="H28" s="699"/>
      <c r="I28" s="699"/>
      <c r="J28" s="699"/>
      <c r="K28" s="699"/>
      <c r="L28" s="699"/>
      <c r="M28" s="777"/>
      <c r="N28" s="1767"/>
      <c r="O28" s="1767"/>
      <c r="P28" s="1767"/>
      <c r="Q28" s="1767"/>
      <c r="R28" s="1767"/>
      <c r="S28" s="1767"/>
      <c r="T28" s="777"/>
    </row>
    <row r="29" spans="2:20" ht="18.75">
      <c r="B29" s="639"/>
      <c r="C29" s="639"/>
      <c r="D29" s="639"/>
      <c r="E29" s="639"/>
      <c r="F29" s="639"/>
      <c r="G29" s="639"/>
      <c r="H29" s="639"/>
      <c r="I29" s="639"/>
      <c r="J29" s="639"/>
      <c r="K29" s="639"/>
      <c r="L29" s="639"/>
      <c r="M29" s="770"/>
      <c r="N29" s="770"/>
      <c r="O29" s="770"/>
      <c r="P29" s="770"/>
      <c r="Q29" s="770"/>
      <c r="R29" s="770"/>
      <c r="S29" s="770"/>
      <c r="T29" s="770"/>
    </row>
    <row r="30" spans="2:21" ht="18.75">
      <c r="B30" s="1694" t="str">
        <f>'Thong tin'!B5</f>
        <v>Duy Thị Thúy</v>
      </c>
      <c r="C30" s="1694"/>
      <c r="D30" s="1694"/>
      <c r="E30" s="682"/>
      <c r="F30" s="682"/>
      <c r="G30" s="682"/>
      <c r="H30" s="682"/>
      <c r="I30" s="635"/>
      <c r="J30" s="635"/>
      <c r="K30" s="635"/>
      <c r="L30" s="635"/>
      <c r="M30" s="1634" t="str">
        <f>'Thong tin'!B6</f>
        <v>Nguyễn Tuyên </v>
      </c>
      <c r="N30" s="1634"/>
      <c r="O30" s="1634"/>
      <c r="P30" s="1634"/>
      <c r="Q30" s="1634"/>
      <c r="R30" s="1634"/>
      <c r="S30" s="1634"/>
      <c r="T30" s="1634"/>
      <c r="U30" s="603"/>
    </row>
    <row r="31" spans="2:20" ht="18.75">
      <c r="B31" s="639"/>
      <c r="C31" s="639"/>
      <c r="D31" s="639"/>
      <c r="E31" s="639"/>
      <c r="F31" s="639"/>
      <c r="G31" s="639"/>
      <c r="H31" s="639"/>
      <c r="I31" s="639"/>
      <c r="J31" s="639"/>
      <c r="K31" s="639"/>
      <c r="L31" s="639"/>
      <c r="M31" s="639"/>
      <c r="N31" s="639"/>
      <c r="O31" s="639"/>
      <c r="P31" s="639"/>
      <c r="Q31" s="639"/>
      <c r="R31" s="639"/>
      <c r="S31" s="639"/>
      <c r="T31" s="639"/>
    </row>
    <row r="32" spans="2:20" ht="18.75">
      <c r="B32" s="639"/>
      <c r="C32" s="639"/>
      <c r="D32" s="639"/>
      <c r="E32" s="639"/>
      <c r="F32" s="639"/>
      <c r="G32" s="639"/>
      <c r="H32" s="639"/>
      <c r="I32" s="639"/>
      <c r="J32" s="639"/>
      <c r="K32" s="639"/>
      <c r="L32" s="639"/>
      <c r="M32" s="639"/>
      <c r="N32" s="639"/>
      <c r="O32" s="639"/>
      <c r="P32" s="639"/>
      <c r="Q32" s="639"/>
      <c r="R32" s="639"/>
      <c r="S32" s="639"/>
      <c r="T32" s="639"/>
    </row>
  </sheetData>
  <sheetProtection/>
  <mergeCells count="33">
    <mergeCell ref="C6:C9"/>
    <mergeCell ref="P2:T2"/>
    <mergeCell ref="A3:C3"/>
    <mergeCell ref="A4:C4"/>
    <mergeCell ref="D4:N4"/>
    <mergeCell ref="D3:N3"/>
    <mergeCell ref="A1:C1"/>
    <mergeCell ref="D1:N2"/>
    <mergeCell ref="A2:C2"/>
    <mergeCell ref="E8:G8"/>
    <mergeCell ref="H8:J8"/>
    <mergeCell ref="D6:S6"/>
    <mergeCell ref="S8:S9"/>
    <mergeCell ref="A6:B9"/>
    <mergeCell ref="D7:D9"/>
    <mergeCell ref="E7:S7"/>
    <mergeCell ref="U8:U10"/>
    <mergeCell ref="K8:L8"/>
    <mergeCell ref="M8:O8"/>
    <mergeCell ref="P8:P9"/>
    <mergeCell ref="Q8:Q9"/>
    <mergeCell ref="R8:R9"/>
    <mergeCell ref="T6:T9"/>
    <mergeCell ref="A10:B10"/>
    <mergeCell ref="A11:B11"/>
    <mergeCell ref="B30:D30"/>
    <mergeCell ref="M30:T30"/>
    <mergeCell ref="B21:D21"/>
    <mergeCell ref="M21:T21"/>
    <mergeCell ref="B22:D22"/>
    <mergeCell ref="M22:T22"/>
    <mergeCell ref="B28:D28"/>
    <mergeCell ref="N28:S28"/>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271" t="s">
        <v>27</v>
      </c>
      <c r="B1" s="1271"/>
      <c r="C1" s="107"/>
      <c r="D1" s="1274" t="s">
        <v>457</v>
      </c>
      <c r="E1" s="1274"/>
      <c r="F1" s="1274"/>
      <c r="G1" s="1274"/>
      <c r="H1" s="1274"/>
      <c r="I1" s="1274"/>
      <c r="J1" s="1274"/>
      <c r="K1" s="1274"/>
      <c r="L1" s="1274"/>
      <c r="M1" s="1245" t="s">
        <v>398</v>
      </c>
      <c r="N1" s="1246"/>
      <c r="O1" s="1246"/>
      <c r="P1" s="1246"/>
    </row>
    <row r="2" spans="1:16" s="51" customFormat="1" ht="34.5" customHeight="1">
      <c r="A2" s="1273" t="s">
        <v>399</v>
      </c>
      <c r="B2" s="1273"/>
      <c r="C2" s="1273"/>
      <c r="D2" s="1274"/>
      <c r="E2" s="1274"/>
      <c r="F2" s="1274"/>
      <c r="G2" s="1274"/>
      <c r="H2" s="1274"/>
      <c r="I2" s="1274"/>
      <c r="J2" s="1274"/>
      <c r="K2" s="1274"/>
      <c r="L2" s="1274"/>
      <c r="M2" s="1247" t="s">
        <v>458</v>
      </c>
      <c r="N2" s="1248"/>
      <c r="O2" s="1248"/>
      <c r="P2" s="1248"/>
    </row>
    <row r="3" spans="1:16" s="51" customFormat="1" ht="19.5" customHeight="1">
      <c r="A3" s="1272" t="s">
        <v>400</v>
      </c>
      <c r="B3" s="1272"/>
      <c r="C3" s="1272"/>
      <c r="D3" s="1274"/>
      <c r="E3" s="1274"/>
      <c r="F3" s="1274"/>
      <c r="G3" s="1274"/>
      <c r="H3" s="1274"/>
      <c r="I3" s="1274"/>
      <c r="J3" s="1274"/>
      <c r="K3" s="1274"/>
      <c r="L3" s="1274"/>
      <c r="M3" s="1247" t="s">
        <v>401</v>
      </c>
      <c r="N3" s="1248"/>
      <c r="O3" s="1248"/>
      <c r="P3" s="1248"/>
    </row>
    <row r="4" spans="1:16" s="112" customFormat="1" ht="18.75" customHeight="1">
      <c r="A4" s="108"/>
      <c r="B4" s="108"/>
      <c r="C4" s="109"/>
      <c r="D4" s="1217"/>
      <c r="E4" s="1217"/>
      <c r="F4" s="1217"/>
      <c r="G4" s="1217"/>
      <c r="H4" s="1217"/>
      <c r="I4" s="1217"/>
      <c r="J4" s="1217"/>
      <c r="K4" s="1217"/>
      <c r="L4" s="1217"/>
      <c r="M4" s="110" t="s">
        <v>402</v>
      </c>
      <c r="N4" s="111"/>
      <c r="O4" s="111"/>
      <c r="P4" s="111"/>
    </row>
    <row r="5" spans="1:16" ht="49.5" customHeight="1">
      <c r="A5" s="1260" t="s">
        <v>71</v>
      </c>
      <c r="B5" s="1261"/>
      <c r="C5" s="1266" t="s">
        <v>99</v>
      </c>
      <c r="D5" s="1251"/>
      <c r="E5" s="1251"/>
      <c r="F5" s="1251"/>
      <c r="G5" s="1251"/>
      <c r="H5" s="1251"/>
      <c r="I5" s="1251"/>
      <c r="J5" s="1251"/>
      <c r="K5" s="1249" t="s">
        <v>98</v>
      </c>
      <c r="L5" s="1249"/>
      <c r="M5" s="1249"/>
      <c r="N5" s="1249"/>
      <c r="O5" s="1249"/>
      <c r="P5" s="1249"/>
    </row>
    <row r="6" spans="1:16" ht="20.25" customHeight="1">
      <c r="A6" s="1262"/>
      <c r="B6" s="1263"/>
      <c r="C6" s="1266" t="s">
        <v>3</v>
      </c>
      <c r="D6" s="1251"/>
      <c r="E6" s="1251"/>
      <c r="F6" s="1252"/>
      <c r="G6" s="1249" t="s">
        <v>10</v>
      </c>
      <c r="H6" s="1249"/>
      <c r="I6" s="1249"/>
      <c r="J6" s="1249"/>
      <c r="K6" s="1250" t="s">
        <v>3</v>
      </c>
      <c r="L6" s="1250"/>
      <c r="M6" s="1250"/>
      <c r="N6" s="1255" t="s">
        <v>10</v>
      </c>
      <c r="O6" s="1255"/>
      <c r="P6" s="1255"/>
    </row>
    <row r="7" spans="1:16" ht="52.5" customHeight="1">
      <c r="A7" s="1262"/>
      <c r="B7" s="1263"/>
      <c r="C7" s="1267" t="s">
        <v>403</v>
      </c>
      <c r="D7" s="1251" t="s">
        <v>95</v>
      </c>
      <c r="E7" s="1251"/>
      <c r="F7" s="1252"/>
      <c r="G7" s="1249" t="s">
        <v>404</v>
      </c>
      <c r="H7" s="1249" t="s">
        <v>95</v>
      </c>
      <c r="I7" s="1249"/>
      <c r="J7" s="1249"/>
      <c r="K7" s="1249" t="s">
        <v>38</v>
      </c>
      <c r="L7" s="1249" t="s">
        <v>96</v>
      </c>
      <c r="M7" s="1249"/>
      <c r="N7" s="1249" t="s">
        <v>79</v>
      </c>
      <c r="O7" s="1249" t="s">
        <v>96</v>
      </c>
      <c r="P7" s="1249"/>
    </row>
    <row r="8" spans="1:16" ht="15.75" customHeight="1">
      <c r="A8" s="1262"/>
      <c r="B8" s="1263"/>
      <c r="C8" s="1267"/>
      <c r="D8" s="1249" t="s">
        <v>43</v>
      </c>
      <c r="E8" s="1249" t="s">
        <v>44</v>
      </c>
      <c r="F8" s="1249" t="s">
        <v>47</v>
      </c>
      <c r="G8" s="1249"/>
      <c r="H8" s="1249" t="s">
        <v>43</v>
      </c>
      <c r="I8" s="1249" t="s">
        <v>44</v>
      </c>
      <c r="J8" s="1249" t="s">
        <v>47</v>
      </c>
      <c r="K8" s="1249"/>
      <c r="L8" s="1249" t="s">
        <v>15</v>
      </c>
      <c r="M8" s="1249" t="s">
        <v>14</v>
      </c>
      <c r="N8" s="1249"/>
      <c r="O8" s="1249" t="s">
        <v>15</v>
      </c>
      <c r="P8" s="1249" t="s">
        <v>14</v>
      </c>
    </row>
    <row r="9" spans="1:16" ht="44.25" customHeight="1">
      <c r="A9" s="1264"/>
      <c r="B9" s="1265"/>
      <c r="C9" s="1268"/>
      <c r="D9" s="1249"/>
      <c r="E9" s="1249"/>
      <c r="F9" s="1249"/>
      <c r="G9" s="1249"/>
      <c r="H9" s="1249"/>
      <c r="I9" s="1249"/>
      <c r="J9" s="1249"/>
      <c r="K9" s="1249"/>
      <c r="L9" s="1249"/>
      <c r="M9" s="1249"/>
      <c r="N9" s="1249"/>
      <c r="O9" s="1249"/>
      <c r="P9" s="1249"/>
    </row>
    <row r="10" spans="1:16" ht="15" customHeight="1">
      <c r="A10" s="1258" t="s">
        <v>6</v>
      </c>
      <c r="B10" s="1259"/>
      <c r="C10" s="114">
        <v>1</v>
      </c>
      <c r="D10" s="114" t="s">
        <v>52</v>
      </c>
      <c r="E10" s="114" t="s">
        <v>57</v>
      </c>
      <c r="F10" s="114" t="s">
        <v>72</v>
      </c>
      <c r="G10" s="114" t="s">
        <v>73</v>
      </c>
      <c r="H10" s="114" t="s">
        <v>74</v>
      </c>
      <c r="I10" s="114" t="s">
        <v>75</v>
      </c>
      <c r="J10" s="114" t="s">
        <v>76</v>
      </c>
      <c r="K10" s="114" t="s">
        <v>77</v>
      </c>
      <c r="L10" s="114" t="s">
        <v>100</v>
      </c>
      <c r="M10" s="114" t="s">
        <v>101</v>
      </c>
      <c r="N10" s="114" t="s">
        <v>102</v>
      </c>
      <c r="O10" s="114" t="s">
        <v>103</v>
      </c>
      <c r="P10" s="114" t="s">
        <v>104</v>
      </c>
    </row>
    <row r="11" spans="1:16" ht="15" customHeight="1">
      <c r="A11" s="1269" t="s">
        <v>405</v>
      </c>
      <c r="B11" s="1270"/>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253" t="s">
        <v>406</v>
      </c>
      <c r="B12" s="1254"/>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256" t="s">
        <v>40</v>
      </c>
      <c r="B13" s="1257"/>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97</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18</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51</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52</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57</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72</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73</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74</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75</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76</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77</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100</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101</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41" t="s">
        <v>459</v>
      </c>
      <c r="C28" s="1242"/>
      <c r="D28" s="1242"/>
      <c r="E28" s="1242"/>
      <c r="F28" s="132"/>
      <c r="G28" s="132"/>
      <c r="H28" s="132"/>
      <c r="I28" s="132"/>
      <c r="J28" s="132"/>
      <c r="K28" s="1236" t="s">
        <v>460</v>
      </c>
      <c r="L28" s="1236"/>
      <c r="M28" s="1236"/>
      <c r="N28" s="1236"/>
      <c r="O28" s="1236"/>
      <c r="P28" s="1236"/>
      <c r="AG28" s="82" t="s">
        <v>394</v>
      </c>
      <c r="AI28" s="122">
        <f>82/88</f>
        <v>0.9318181818181818</v>
      </c>
    </row>
    <row r="29" spans="2:16" ht="16.5">
      <c r="B29" s="1242"/>
      <c r="C29" s="1242"/>
      <c r="D29" s="1242"/>
      <c r="E29" s="1242"/>
      <c r="F29" s="132"/>
      <c r="G29" s="132"/>
      <c r="H29" s="132"/>
      <c r="I29" s="132"/>
      <c r="J29" s="132"/>
      <c r="K29" s="1236"/>
      <c r="L29" s="1236"/>
      <c r="M29" s="1236"/>
      <c r="N29" s="1236"/>
      <c r="O29" s="1236"/>
      <c r="P29" s="1236"/>
    </row>
    <row r="30" spans="2:16" ht="21" customHeight="1">
      <c r="B30" s="1242"/>
      <c r="C30" s="1242"/>
      <c r="D30" s="1242"/>
      <c r="E30" s="1242"/>
      <c r="F30" s="132"/>
      <c r="G30" s="132"/>
      <c r="H30" s="132"/>
      <c r="I30" s="132"/>
      <c r="J30" s="132"/>
      <c r="K30" s="1236"/>
      <c r="L30" s="1236"/>
      <c r="M30" s="1236"/>
      <c r="N30" s="1236"/>
      <c r="O30" s="1236"/>
      <c r="P30" s="1236"/>
    </row>
    <row r="32" spans="2:16" ht="16.5" customHeight="1">
      <c r="B32" s="1244" t="s">
        <v>397</v>
      </c>
      <c r="C32" s="1244"/>
      <c r="D32" s="1244"/>
      <c r="E32" s="133"/>
      <c r="F32" s="133"/>
      <c r="G32" s="133"/>
      <c r="H32" s="133"/>
      <c r="I32" s="133"/>
      <c r="J32" s="133"/>
      <c r="K32" s="1243" t="s">
        <v>461</v>
      </c>
      <c r="L32" s="1243"/>
      <c r="M32" s="1243"/>
      <c r="N32" s="1243"/>
      <c r="O32" s="1243"/>
      <c r="P32" s="1243"/>
    </row>
    <row r="33" ht="12.75" customHeight="1"/>
    <row r="34" spans="2:5" ht="15.75">
      <c r="B34" s="134"/>
      <c r="C34" s="134"/>
      <c r="D34" s="134"/>
      <c r="E34" s="134"/>
    </row>
    <row r="35" ht="15.75" hidden="1"/>
    <row r="36" spans="2:16" ht="15.75">
      <c r="B36" s="1239" t="s">
        <v>350</v>
      </c>
      <c r="C36" s="1239"/>
      <c r="D36" s="1239"/>
      <c r="E36" s="1239"/>
      <c r="F36" s="135"/>
      <c r="G36" s="135"/>
      <c r="H36" s="135"/>
      <c r="I36" s="135"/>
      <c r="K36" s="1240" t="s">
        <v>351</v>
      </c>
      <c r="L36" s="1240"/>
      <c r="M36" s="1240"/>
      <c r="N36" s="1240"/>
      <c r="O36" s="1240"/>
      <c r="P36" s="1240"/>
    </row>
    <row r="39" ht="15.75">
      <c r="A39" s="137" t="s">
        <v>48</v>
      </c>
    </row>
    <row r="40" spans="1:6" ht="15.75">
      <c r="A40" s="138"/>
      <c r="B40" s="139" t="s">
        <v>58</v>
      </c>
      <c r="C40" s="139"/>
      <c r="D40" s="139"/>
      <c r="E40" s="139"/>
      <c r="F40" s="139"/>
    </row>
    <row r="41" spans="1:14" ht="15.75" customHeight="1">
      <c r="A41" s="140" t="s">
        <v>26</v>
      </c>
      <c r="B41" s="1238" t="s">
        <v>62</v>
      </c>
      <c r="C41" s="1238"/>
      <c r="D41" s="1238"/>
      <c r="E41" s="1238"/>
      <c r="F41" s="1238"/>
      <c r="G41" s="140"/>
      <c r="H41" s="140"/>
      <c r="I41" s="140"/>
      <c r="J41" s="140"/>
      <c r="K41" s="140"/>
      <c r="L41" s="140"/>
      <c r="M41" s="140"/>
      <c r="N41" s="140"/>
    </row>
    <row r="42" spans="1:14" ht="15" customHeight="1">
      <c r="A42" s="140"/>
      <c r="B42" s="1237" t="s">
        <v>65</v>
      </c>
      <c r="C42" s="1237"/>
      <c r="D42" s="1237"/>
      <c r="E42" s="1237"/>
      <c r="F42" s="1237"/>
      <c r="G42" s="1237"/>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AM31"/>
  <sheetViews>
    <sheetView showZeros="0" zoomScalePageLayoutView="0" workbookViewId="0" topLeftCell="A10">
      <selection activeCell="M20" sqref="M20:T20"/>
    </sheetView>
  </sheetViews>
  <sheetFormatPr defaultColWidth="9.00390625" defaultRowHeight="15.75"/>
  <cols>
    <col min="1" max="1" width="3.75390625" style="652" customWidth="1"/>
    <col min="2" max="2" width="24.875" style="652" customWidth="1"/>
    <col min="3" max="3" width="7.875" style="652" customWidth="1"/>
    <col min="4" max="5" width="5.625" style="652" customWidth="1"/>
    <col min="6" max="7" width="6.25390625" style="652" customWidth="1"/>
    <col min="8" max="8" width="5.625" style="652" customWidth="1"/>
    <col min="9" max="9" width="6.00390625" style="652" customWidth="1"/>
    <col min="10" max="10" width="6.125" style="652" customWidth="1"/>
    <col min="11" max="11" width="5.00390625" style="652" customWidth="1"/>
    <col min="12" max="12" width="5.625" style="652" customWidth="1"/>
    <col min="13" max="13" width="6.125" style="652" customWidth="1"/>
    <col min="14" max="15" width="6.25390625" style="652" customWidth="1"/>
    <col min="16" max="17" width="5.625" style="652" customWidth="1"/>
    <col min="18" max="18" width="5.25390625" style="652" customWidth="1"/>
    <col min="19" max="19" width="5.875" style="652" customWidth="1"/>
    <col min="20" max="20" width="5.625" style="652" customWidth="1"/>
    <col min="21" max="28" width="9.00390625" style="652" customWidth="1"/>
    <col min="29" max="29" width="8.375" style="652" customWidth="1"/>
    <col min="30" max="30" width="9.00390625" style="652" customWidth="1"/>
    <col min="31" max="31" width="11.25390625" style="652" customWidth="1"/>
    <col min="32" max="32" width="13.50390625" style="652" customWidth="1"/>
    <col min="33" max="16384" width="9.00390625" style="652" customWidth="1"/>
  </cols>
  <sheetData>
    <row r="1" spans="1:20" ht="16.5">
      <c r="A1" s="1758" t="s">
        <v>253</v>
      </c>
      <c r="B1" s="1758"/>
      <c r="C1" s="1758"/>
      <c r="D1" s="700"/>
      <c r="E1" s="1803" t="s">
        <v>254</v>
      </c>
      <c r="F1" s="1803"/>
      <c r="G1" s="1803"/>
      <c r="H1" s="1803"/>
      <c r="I1" s="1803"/>
      <c r="J1" s="1803"/>
      <c r="K1" s="1803"/>
      <c r="L1" s="1803"/>
      <c r="M1" s="1803"/>
      <c r="N1" s="1803"/>
      <c r="O1" s="651"/>
      <c r="P1" s="1804" t="s">
        <v>659</v>
      </c>
      <c r="Q1" s="1752"/>
      <c r="R1" s="1752"/>
      <c r="S1" s="1752"/>
      <c r="T1" s="1752"/>
    </row>
    <row r="2" spans="1:20" ht="15.75" customHeight="1">
      <c r="A2" s="1754" t="s">
        <v>729</v>
      </c>
      <c r="B2" s="1754"/>
      <c r="C2" s="1754"/>
      <c r="D2" s="1754"/>
      <c r="E2" s="1805" t="s">
        <v>255</v>
      </c>
      <c r="F2" s="1805"/>
      <c r="G2" s="1805"/>
      <c r="H2" s="1805"/>
      <c r="I2" s="1805"/>
      <c r="J2" s="1805"/>
      <c r="K2" s="1805"/>
      <c r="L2" s="1805"/>
      <c r="M2" s="1805"/>
      <c r="N2" s="1805"/>
      <c r="O2" s="654"/>
      <c r="P2" s="1806" t="str">
        <f>'Thong tin'!B4</f>
        <v>Cục THADS tỉnh Tuyên Quang</v>
      </c>
      <c r="Q2" s="1806"/>
      <c r="R2" s="1806"/>
      <c r="S2" s="1806"/>
      <c r="T2" s="1806"/>
    </row>
    <row r="3" spans="1:20" ht="17.25">
      <c r="A3" s="1754" t="s">
        <v>343</v>
      </c>
      <c r="B3" s="1754"/>
      <c r="C3" s="1754"/>
      <c r="D3" s="701"/>
      <c r="E3" s="1756" t="str">
        <f>'Thong tin'!B3</f>
        <v>06 tháng / năm 2017</v>
      </c>
      <c r="F3" s="1756"/>
      <c r="G3" s="1756"/>
      <c r="H3" s="1756"/>
      <c r="I3" s="1756"/>
      <c r="J3" s="1756"/>
      <c r="K3" s="1756"/>
      <c r="L3" s="1756"/>
      <c r="M3" s="1756"/>
      <c r="N3" s="1756"/>
      <c r="O3" s="654"/>
      <c r="P3" s="1800" t="s">
        <v>468</v>
      </c>
      <c r="Q3" s="1800"/>
      <c r="R3" s="1800"/>
      <c r="S3" s="1800"/>
      <c r="T3" s="1800"/>
    </row>
    <row r="4" spans="1:20" ht="18.75" customHeight="1">
      <c r="A4" s="1801" t="s">
        <v>362</v>
      </c>
      <c r="B4" s="1801"/>
      <c r="C4" s="1801"/>
      <c r="D4" s="1802"/>
      <c r="E4" s="1802"/>
      <c r="F4" s="1802"/>
      <c r="G4" s="1802"/>
      <c r="H4" s="1802"/>
      <c r="I4" s="1802"/>
      <c r="J4" s="1802"/>
      <c r="K4" s="1802"/>
      <c r="L4" s="1802"/>
      <c r="M4" s="1802"/>
      <c r="N4" s="1802"/>
      <c r="O4" s="656"/>
      <c r="P4" s="1760" t="s">
        <v>401</v>
      </c>
      <c r="Q4" s="1800"/>
      <c r="R4" s="1800"/>
      <c r="S4" s="1800"/>
      <c r="T4" s="1800"/>
    </row>
    <row r="5" spans="1:23" ht="29.25" customHeight="1">
      <c r="A5" s="1784" t="s">
        <v>71</v>
      </c>
      <c r="B5" s="1785"/>
      <c r="C5" s="1777" t="s">
        <v>762</v>
      </c>
      <c r="D5" s="1783" t="s">
        <v>785</v>
      </c>
      <c r="E5" s="1782"/>
      <c r="F5" s="1782"/>
      <c r="G5" s="1782"/>
      <c r="H5" s="1782"/>
      <c r="I5" s="1782"/>
      <c r="J5" s="1771"/>
      <c r="K5" s="1796" t="s">
        <v>786</v>
      </c>
      <c r="L5" s="1797"/>
      <c r="M5" s="1797"/>
      <c r="N5" s="1797"/>
      <c r="O5" s="1797"/>
      <c r="P5" s="1797"/>
      <c r="Q5" s="1797"/>
      <c r="R5" s="1797"/>
      <c r="S5" s="1797"/>
      <c r="T5" s="1785"/>
      <c r="U5" s="703"/>
      <c r="V5" s="666"/>
      <c r="W5" s="666"/>
    </row>
    <row r="6" spans="1:20" ht="19.5" customHeight="1">
      <c r="A6" s="1786"/>
      <c r="B6" s="1787"/>
      <c r="C6" s="1790"/>
      <c r="D6" s="1783" t="s">
        <v>7</v>
      </c>
      <c r="E6" s="1782"/>
      <c r="F6" s="1782"/>
      <c r="G6" s="1782"/>
      <c r="H6" s="1782"/>
      <c r="I6" s="1782"/>
      <c r="J6" s="1771"/>
      <c r="K6" s="1788"/>
      <c r="L6" s="1798"/>
      <c r="M6" s="1798"/>
      <c r="N6" s="1798"/>
      <c r="O6" s="1798"/>
      <c r="P6" s="1798"/>
      <c r="Q6" s="1798"/>
      <c r="R6" s="1798"/>
      <c r="S6" s="1798"/>
      <c r="T6" s="1789"/>
    </row>
    <row r="7" spans="1:20" ht="33" customHeight="1">
      <c r="A7" s="1786"/>
      <c r="B7" s="1787"/>
      <c r="C7" s="1790"/>
      <c r="D7" s="1770" t="s">
        <v>787</v>
      </c>
      <c r="E7" s="1771"/>
      <c r="F7" s="1770" t="s">
        <v>259</v>
      </c>
      <c r="G7" s="1771"/>
      <c r="H7" s="1770" t="s">
        <v>788</v>
      </c>
      <c r="I7" s="1771"/>
      <c r="J7" s="1777" t="s">
        <v>789</v>
      </c>
      <c r="K7" s="1770" t="s">
        <v>790</v>
      </c>
      <c r="L7" s="1782"/>
      <c r="M7" s="1771"/>
      <c r="N7" s="1783" t="s">
        <v>791</v>
      </c>
      <c r="O7" s="1782"/>
      <c r="P7" s="1771"/>
      <c r="Q7" s="1777" t="s">
        <v>792</v>
      </c>
      <c r="R7" s="1777" t="s">
        <v>793</v>
      </c>
      <c r="S7" s="1777" t="s">
        <v>794</v>
      </c>
      <c r="T7" s="1799" t="s">
        <v>267</v>
      </c>
    </row>
    <row r="8" spans="1:20" ht="26.25" customHeight="1">
      <c r="A8" s="1788"/>
      <c r="B8" s="1789"/>
      <c r="C8" s="1778"/>
      <c r="D8" s="979" t="s">
        <v>795</v>
      </c>
      <c r="E8" s="979" t="s">
        <v>269</v>
      </c>
      <c r="F8" s="979" t="s">
        <v>795</v>
      </c>
      <c r="G8" s="979" t="s">
        <v>269</v>
      </c>
      <c r="H8" s="979" t="s">
        <v>795</v>
      </c>
      <c r="I8" s="979" t="s">
        <v>269</v>
      </c>
      <c r="J8" s="1778"/>
      <c r="K8" s="981" t="s">
        <v>271</v>
      </c>
      <c r="L8" s="981" t="s">
        <v>246</v>
      </c>
      <c r="M8" s="981" t="s">
        <v>272</v>
      </c>
      <c r="N8" s="981" t="s">
        <v>271</v>
      </c>
      <c r="O8" s="981" t="s">
        <v>273</v>
      </c>
      <c r="P8" s="981" t="s">
        <v>274</v>
      </c>
      <c r="Q8" s="1778"/>
      <c r="R8" s="1778"/>
      <c r="S8" s="1778"/>
      <c r="T8" s="1778"/>
    </row>
    <row r="9" spans="1:20" ht="23.25" customHeight="1">
      <c r="A9" s="1761" t="s">
        <v>6</v>
      </c>
      <c r="B9" s="1762"/>
      <c r="C9" s="982">
        <v>1</v>
      </c>
      <c r="D9" s="982">
        <v>2</v>
      </c>
      <c r="E9" s="982">
        <v>3</v>
      </c>
      <c r="F9" s="982">
        <v>4</v>
      </c>
      <c r="G9" s="982">
        <v>5</v>
      </c>
      <c r="H9" s="982">
        <v>6</v>
      </c>
      <c r="I9" s="982">
        <v>7</v>
      </c>
      <c r="J9" s="982">
        <v>8</v>
      </c>
      <c r="K9" s="982">
        <v>9</v>
      </c>
      <c r="L9" s="982">
        <v>10</v>
      </c>
      <c r="M9" s="982">
        <v>11</v>
      </c>
      <c r="N9" s="982">
        <v>12</v>
      </c>
      <c r="O9" s="982">
        <v>13</v>
      </c>
      <c r="P9" s="982">
        <v>14</v>
      </c>
      <c r="Q9" s="982">
        <v>15</v>
      </c>
      <c r="R9" s="982">
        <v>16</v>
      </c>
      <c r="S9" s="982">
        <v>17</v>
      </c>
      <c r="T9" s="982">
        <v>18</v>
      </c>
    </row>
    <row r="10" spans="1:32" s="660" customFormat="1" ht="17.25" customHeight="1">
      <c r="A10" s="1783" t="s">
        <v>796</v>
      </c>
      <c r="B10" s="1771"/>
      <c r="C10" s="985">
        <f>SUM(C11:C12)</f>
        <v>91</v>
      </c>
      <c r="D10" s="985">
        <f>SUM(D11:D12)</f>
        <v>4</v>
      </c>
      <c r="E10" s="985">
        <f>SUM(E11:E12)</f>
        <v>0</v>
      </c>
      <c r="F10" s="985">
        <f aca="true" t="shared" si="0" ref="F10:T10">SUM(F11:F12)</f>
        <v>67</v>
      </c>
      <c r="G10" s="985">
        <f t="shared" si="0"/>
        <v>14</v>
      </c>
      <c r="H10" s="985">
        <f t="shared" si="0"/>
        <v>1</v>
      </c>
      <c r="I10" s="985">
        <f t="shared" si="0"/>
        <v>3</v>
      </c>
      <c r="J10" s="985">
        <f t="shared" si="0"/>
        <v>2</v>
      </c>
      <c r="K10" s="985">
        <f t="shared" si="0"/>
        <v>1</v>
      </c>
      <c r="L10" s="985">
        <f t="shared" si="0"/>
        <v>22</v>
      </c>
      <c r="M10" s="985">
        <f t="shared" si="0"/>
        <v>45</v>
      </c>
      <c r="N10" s="985">
        <f t="shared" si="0"/>
        <v>10</v>
      </c>
      <c r="O10" s="985">
        <f t="shared" si="0"/>
        <v>53</v>
      </c>
      <c r="P10" s="985">
        <f t="shared" si="0"/>
        <v>0</v>
      </c>
      <c r="Q10" s="985">
        <f t="shared" si="0"/>
        <v>58</v>
      </c>
      <c r="R10" s="985">
        <f t="shared" si="0"/>
        <v>0</v>
      </c>
      <c r="S10" s="985">
        <f t="shared" si="0"/>
        <v>9</v>
      </c>
      <c r="T10" s="985">
        <f t="shared" si="0"/>
        <v>11</v>
      </c>
      <c r="AF10" s="660">
        <f>AC11-AC12</f>
        <v>0</v>
      </c>
    </row>
    <row r="11" spans="1:37" s="660" customFormat="1" ht="19.5" customHeight="1">
      <c r="A11" s="985" t="s">
        <v>0</v>
      </c>
      <c r="B11" s="986" t="s">
        <v>710</v>
      </c>
      <c r="C11" s="981">
        <v>24</v>
      </c>
      <c r="D11" s="981">
        <v>1</v>
      </c>
      <c r="E11" s="988"/>
      <c r="F11" s="981">
        <v>19</v>
      </c>
      <c r="G11" s="981">
        <v>3</v>
      </c>
      <c r="H11" s="988"/>
      <c r="I11" s="981">
        <v>1</v>
      </c>
      <c r="J11" s="981"/>
      <c r="K11" s="981">
        <v>1</v>
      </c>
      <c r="L11" s="981">
        <v>11</v>
      </c>
      <c r="M11" s="981">
        <v>9</v>
      </c>
      <c r="N11" s="981">
        <v>5</v>
      </c>
      <c r="O11" s="981">
        <v>13</v>
      </c>
      <c r="P11" s="981"/>
      <c r="Q11" s="981">
        <v>15</v>
      </c>
      <c r="R11" s="981"/>
      <c r="S11" s="981">
        <v>3</v>
      </c>
      <c r="T11" s="981">
        <v>2</v>
      </c>
      <c r="AK11" s="669"/>
    </row>
    <row r="12" spans="1:20" s="660" customFormat="1" ht="24" customHeight="1">
      <c r="A12" s="985" t="s">
        <v>1</v>
      </c>
      <c r="B12" s="986" t="s">
        <v>18</v>
      </c>
      <c r="C12" s="985">
        <f aca="true" t="shared" si="1" ref="C12:T12">SUM(C13:C19)</f>
        <v>67</v>
      </c>
      <c r="D12" s="985">
        <f t="shared" si="1"/>
        <v>3</v>
      </c>
      <c r="E12" s="985">
        <f t="shared" si="1"/>
        <v>0</v>
      </c>
      <c r="F12" s="985">
        <f t="shared" si="1"/>
        <v>48</v>
      </c>
      <c r="G12" s="985">
        <f t="shared" si="1"/>
        <v>11</v>
      </c>
      <c r="H12" s="985">
        <f t="shared" si="1"/>
        <v>1</v>
      </c>
      <c r="I12" s="985">
        <f t="shared" si="1"/>
        <v>2</v>
      </c>
      <c r="J12" s="985">
        <f t="shared" si="1"/>
        <v>2</v>
      </c>
      <c r="K12" s="985">
        <f t="shared" si="1"/>
        <v>0</v>
      </c>
      <c r="L12" s="985">
        <f t="shared" si="1"/>
        <v>11</v>
      </c>
      <c r="M12" s="985">
        <f t="shared" si="1"/>
        <v>36</v>
      </c>
      <c r="N12" s="985">
        <f t="shared" si="1"/>
        <v>5</v>
      </c>
      <c r="O12" s="985">
        <f t="shared" si="1"/>
        <v>40</v>
      </c>
      <c r="P12" s="985">
        <f t="shared" si="1"/>
        <v>0</v>
      </c>
      <c r="Q12" s="985">
        <f t="shared" si="1"/>
        <v>43</v>
      </c>
      <c r="R12" s="985">
        <f t="shared" si="1"/>
        <v>0</v>
      </c>
      <c r="S12" s="985">
        <f t="shared" si="1"/>
        <v>6</v>
      </c>
      <c r="T12" s="985">
        <f t="shared" si="1"/>
        <v>9</v>
      </c>
    </row>
    <row r="13" spans="1:38" s="660" customFormat="1" ht="24" customHeight="1">
      <c r="A13" s="981">
        <v>1</v>
      </c>
      <c r="B13" s="987" t="s">
        <v>778</v>
      </c>
      <c r="C13" s="981">
        <v>15</v>
      </c>
      <c r="D13" s="981">
        <v>2</v>
      </c>
      <c r="E13" s="981"/>
      <c r="F13" s="981">
        <v>10</v>
      </c>
      <c r="G13" s="981">
        <v>2</v>
      </c>
      <c r="H13" s="981"/>
      <c r="I13" s="981"/>
      <c r="J13" s="981">
        <v>1</v>
      </c>
      <c r="K13" s="981"/>
      <c r="L13" s="981">
        <v>2</v>
      </c>
      <c r="M13" s="981">
        <v>10</v>
      </c>
      <c r="N13" s="981">
        <v>2</v>
      </c>
      <c r="O13" s="981">
        <v>7</v>
      </c>
      <c r="P13" s="981"/>
      <c r="Q13" s="981">
        <v>10</v>
      </c>
      <c r="R13" s="981"/>
      <c r="S13" s="981">
        <v>1</v>
      </c>
      <c r="T13" s="981">
        <v>2</v>
      </c>
      <c r="AL13" s="669"/>
    </row>
    <row r="14" spans="1:32" s="660" customFormat="1" ht="24" customHeight="1">
      <c r="A14" s="981">
        <v>2</v>
      </c>
      <c r="B14" s="987" t="s">
        <v>779</v>
      </c>
      <c r="C14" s="981">
        <v>12</v>
      </c>
      <c r="D14" s="981"/>
      <c r="E14" s="981"/>
      <c r="F14" s="981">
        <v>10</v>
      </c>
      <c r="G14" s="981">
        <v>1</v>
      </c>
      <c r="H14" s="981"/>
      <c r="I14" s="981">
        <v>1</v>
      </c>
      <c r="J14" s="981"/>
      <c r="K14" s="981"/>
      <c r="L14" s="981">
        <v>2</v>
      </c>
      <c r="M14" s="981">
        <v>7</v>
      </c>
      <c r="N14" s="981"/>
      <c r="O14" s="981">
        <v>10</v>
      </c>
      <c r="P14" s="981"/>
      <c r="Q14" s="981">
        <v>8</v>
      </c>
      <c r="R14" s="981"/>
      <c r="S14" s="981">
        <v>2</v>
      </c>
      <c r="T14" s="981">
        <v>1</v>
      </c>
      <c r="AF14" s="669" t="e">
        <f>(R14-D14)/D14</f>
        <v>#DIV/0!</v>
      </c>
    </row>
    <row r="15" spans="1:20" s="660" customFormat="1" ht="24" customHeight="1">
      <c r="A15" s="981">
        <v>3</v>
      </c>
      <c r="B15" s="987" t="s">
        <v>780</v>
      </c>
      <c r="C15" s="981">
        <v>12</v>
      </c>
      <c r="D15" s="981">
        <v>1</v>
      </c>
      <c r="E15" s="981"/>
      <c r="F15" s="981">
        <v>7</v>
      </c>
      <c r="G15" s="981">
        <v>3</v>
      </c>
      <c r="H15" s="981">
        <v>1</v>
      </c>
      <c r="I15" s="981"/>
      <c r="J15" s="981"/>
      <c r="K15" s="981"/>
      <c r="L15" s="981">
        <v>1</v>
      </c>
      <c r="M15" s="981">
        <v>7</v>
      </c>
      <c r="N15" s="981">
        <v>1</v>
      </c>
      <c r="O15" s="981">
        <v>7</v>
      </c>
      <c r="P15" s="981"/>
      <c r="Q15" s="981">
        <v>8</v>
      </c>
      <c r="R15" s="981"/>
      <c r="S15" s="981"/>
      <c r="T15" s="981">
        <v>2</v>
      </c>
    </row>
    <row r="16" spans="1:20" s="660" customFormat="1" ht="24" customHeight="1">
      <c r="A16" s="981">
        <v>4</v>
      </c>
      <c r="B16" s="987" t="s">
        <v>781</v>
      </c>
      <c r="C16" s="981">
        <v>8</v>
      </c>
      <c r="D16" s="981"/>
      <c r="E16" s="981"/>
      <c r="F16" s="981">
        <v>6</v>
      </c>
      <c r="G16" s="981">
        <v>2</v>
      </c>
      <c r="H16" s="981"/>
      <c r="I16" s="981"/>
      <c r="J16" s="981"/>
      <c r="K16" s="981"/>
      <c r="L16" s="981">
        <v>1</v>
      </c>
      <c r="M16" s="981">
        <v>7</v>
      </c>
      <c r="N16" s="981"/>
      <c r="O16" s="981">
        <v>6</v>
      </c>
      <c r="P16" s="981"/>
      <c r="Q16" s="981">
        <v>6</v>
      </c>
      <c r="R16" s="981"/>
      <c r="S16" s="981"/>
      <c r="T16" s="981">
        <v>1</v>
      </c>
    </row>
    <row r="17" spans="1:20" s="660" customFormat="1" ht="24" customHeight="1">
      <c r="A17" s="981">
        <v>5</v>
      </c>
      <c r="B17" s="987" t="s">
        <v>782</v>
      </c>
      <c r="C17" s="981">
        <v>9</v>
      </c>
      <c r="D17" s="981"/>
      <c r="E17" s="981"/>
      <c r="F17" s="981">
        <v>8</v>
      </c>
      <c r="G17" s="981">
        <v>1</v>
      </c>
      <c r="H17" s="981"/>
      <c r="I17" s="981"/>
      <c r="J17" s="981"/>
      <c r="K17" s="981"/>
      <c r="L17" s="981">
        <v>2</v>
      </c>
      <c r="M17" s="981">
        <v>2</v>
      </c>
      <c r="N17" s="981">
        <v>1</v>
      </c>
      <c r="O17" s="981">
        <v>2</v>
      </c>
      <c r="P17" s="981"/>
      <c r="Q17" s="981">
        <v>5</v>
      </c>
      <c r="R17" s="981"/>
      <c r="S17" s="981">
        <v>2</v>
      </c>
      <c r="T17" s="981">
        <v>1</v>
      </c>
    </row>
    <row r="18" spans="1:39" s="660" customFormat="1" ht="24" customHeight="1">
      <c r="A18" s="981">
        <v>6</v>
      </c>
      <c r="B18" s="987" t="s">
        <v>783</v>
      </c>
      <c r="C18" s="981">
        <v>6</v>
      </c>
      <c r="D18" s="981"/>
      <c r="E18" s="981"/>
      <c r="F18" s="981">
        <v>4</v>
      </c>
      <c r="G18" s="981">
        <v>2</v>
      </c>
      <c r="H18" s="981"/>
      <c r="I18" s="981"/>
      <c r="J18" s="981"/>
      <c r="K18" s="981"/>
      <c r="L18" s="981">
        <v>2</v>
      </c>
      <c r="M18" s="981">
        <v>2</v>
      </c>
      <c r="N18" s="981">
        <v>1</v>
      </c>
      <c r="O18" s="981">
        <v>5</v>
      </c>
      <c r="P18" s="981"/>
      <c r="Q18" s="981">
        <v>4</v>
      </c>
      <c r="R18" s="981"/>
      <c r="S18" s="981"/>
      <c r="T18" s="981">
        <v>1</v>
      </c>
      <c r="AJ18" s="660">
        <f>AI17-AI18</f>
        <v>0</v>
      </c>
      <c r="AK18" s="660">
        <v>1653</v>
      </c>
      <c r="AL18" s="660">
        <f>AI17-AK18</f>
        <v>-1653</v>
      </c>
      <c r="AM18" s="669" t="e">
        <f>AL18/AI17</f>
        <v>#DIV/0!</v>
      </c>
    </row>
    <row r="19" spans="1:39" s="660" customFormat="1" ht="24" customHeight="1">
      <c r="A19" s="981">
        <v>7</v>
      </c>
      <c r="B19" s="987" t="s">
        <v>784</v>
      </c>
      <c r="C19" s="981">
        <v>5</v>
      </c>
      <c r="D19" s="981"/>
      <c r="E19" s="981"/>
      <c r="F19" s="981">
        <v>3</v>
      </c>
      <c r="G19" s="981"/>
      <c r="H19" s="981"/>
      <c r="I19" s="981">
        <v>1</v>
      </c>
      <c r="J19" s="981">
        <v>1</v>
      </c>
      <c r="K19" s="981"/>
      <c r="L19" s="981">
        <v>1</v>
      </c>
      <c r="M19" s="981">
        <v>1</v>
      </c>
      <c r="N19" s="981"/>
      <c r="O19" s="981">
        <v>3</v>
      </c>
      <c r="P19" s="981"/>
      <c r="Q19" s="981">
        <v>2</v>
      </c>
      <c r="R19" s="981"/>
      <c r="S19" s="981">
        <v>1</v>
      </c>
      <c r="T19" s="981">
        <v>1</v>
      </c>
      <c r="AM19" s="669" t="e">
        <f>AN17-AM18</f>
        <v>#DIV/0!</v>
      </c>
    </row>
    <row r="20" spans="1:20" ht="15.75" customHeight="1">
      <c r="A20" s="672"/>
      <c r="B20" s="1721"/>
      <c r="C20" s="1721"/>
      <c r="D20" s="1721"/>
      <c r="E20" s="1721"/>
      <c r="F20" s="1721"/>
      <c r="G20" s="705"/>
      <c r="H20" s="705"/>
      <c r="I20" s="705"/>
      <c r="J20" s="705"/>
      <c r="K20" s="705"/>
      <c r="L20" s="768"/>
      <c r="M20" s="1794" t="str">
        <f>'Thong tin'!B8</f>
        <v>Tuyên Quang, ngày 05 tháng 04 năm 2017</v>
      </c>
      <c r="N20" s="1794"/>
      <c r="O20" s="1794"/>
      <c r="P20" s="1794"/>
      <c r="Q20" s="1794"/>
      <c r="R20" s="1794"/>
      <c r="S20" s="1794"/>
      <c r="T20" s="1794"/>
    </row>
    <row r="21" spans="1:20" ht="18.75" customHeight="1">
      <c r="A21" s="672"/>
      <c r="B21" s="1722" t="s">
        <v>248</v>
      </c>
      <c r="C21" s="1722"/>
      <c r="D21" s="1722"/>
      <c r="E21" s="1722"/>
      <c r="F21" s="676"/>
      <c r="G21" s="676"/>
      <c r="H21" s="676"/>
      <c r="I21" s="676"/>
      <c r="J21" s="676"/>
      <c r="K21" s="676"/>
      <c r="L21" s="768"/>
      <c r="M21" s="1713" t="str">
        <f>'Thong tin'!B7</f>
        <v>CỤC TRƯỞNG</v>
      </c>
      <c r="N21" s="1713"/>
      <c r="O21" s="1713"/>
      <c r="P21" s="1713"/>
      <c r="Q21" s="1713"/>
      <c r="R21" s="1713"/>
      <c r="S21" s="1713"/>
      <c r="T21" s="1713"/>
    </row>
    <row r="22" spans="1:20" ht="18.75">
      <c r="A22" s="680"/>
      <c r="B22" s="1712"/>
      <c r="C22" s="1712"/>
      <c r="D22" s="1712"/>
      <c r="E22" s="1712"/>
      <c r="F22" s="770"/>
      <c r="G22" s="770"/>
      <c r="H22" s="770"/>
      <c r="I22" s="770"/>
      <c r="J22" s="770"/>
      <c r="K22" s="770"/>
      <c r="L22" s="770"/>
      <c r="M22" s="1713"/>
      <c r="N22" s="1713"/>
      <c r="O22" s="1713"/>
      <c r="P22" s="1713"/>
      <c r="Q22" s="1713"/>
      <c r="R22" s="1713"/>
      <c r="S22" s="1713"/>
      <c r="T22" s="1713"/>
    </row>
    <row r="23" spans="1:20" ht="18.75">
      <c r="A23" s="680"/>
      <c r="B23" s="770"/>
      <c r="C23" s="770"/>
      <c r="D23" s="770"/>
      <c r="E23" s="770"/>
      <c r="F23" s="770"/>
      <c r="G23" s="770"/>
      <c r="H23" s="770"/>
      <c r="I23" s="770"/>
      <c r="J23" s="770"/>
      <c r="K23" s="770"/>
      <c r="L23" s="770"/>
      <c r="M23" s="770"/>
      <c r="N23" s="770"/>
      <c r="O23" s="770"/>
      <c r="P23" s="770"/>
      <c r="Q23" s="770"/>
      <c r="R23" s="768"/>
      <c r="S23" s="768"/>
      <c r="T23" s="768"/>
    </row>
    <row r="24" spans="2:20" ht="18">
      <c r="B24" s="1795"/>
      <c r="C24" s="1795"/>
      <c r="D24" s="1795"/>
      <c r="E24" s="1795"/>
      <c r="F24" s="1795"/>
      <c r="G24" s="779"/>
      <c r="H24" s="779"/>
      <c r="I24" s="779"/>
      <c r="J24" s="779"/>
      <c r="K24" s="779"/>
      <c r="L24" s="779"/>
      <c r="M24" s="779"/>
      <c r="N24" s="1795"/>
      <c r="O24" s="1795"/>
      <c r="P24" s="1795"/>
      <c r="Q24" s="1795"/>
      <c r="R24" s="1795"/>
      <c r="S24" s="1795"/>
      <c r="T24" s="768"/>
    </row>
    <row r="25" spans="2:20" ht="18">
      <c r="B25" s="768"/>
      <c r="C25" s="768"/>
      <c r="D25" s="768"/>
      <c r="E25" s="768"/>
      <c r="F25" s="768"/>
      <c r="G25" s="768"/>
      <c r="H25" s="768"/>
      <c r="I25" s="768"/>
      <c r="J25" s="768"/>
      <c r="K25" s="768"/>
      <c r="L25" s="768"/>
      <c r="M25" s="768"/>
      <c r="N25" s="768"/>
      <c r="O25" s="768"/>
      <c r="P25" s="768"/>
      <c r="Q25" s="768"/>
      <c r="R25" s="768"/>
      <c r="S25" s="768"/>
      <c r="T25" s="768"/>
    </row>
    <row r="26" spans="2:20" ht="18.75">
      <c r="B26" s="1634" t="str">
        <f>'Thong tin'!B5</f>
        <v>Duy Thị Thúy</v>
      </c>
      <c r="C26" s="1634"/>
      <c r="D26" s="1634"/>
      <c r="E26" s="1634"/>
      <c r="F26" s="780"/>
      <c r="G26" s="780"/>
      <c r="H26" s="780"/>
      <c r="I26" s="768"/>
      <c r="J26" s="768"/>
      <c r="K26" s="768"/>
      <c r="L26" s="768"/>
      <c r="M26" s="1634" t="str">
        <f>'Thong tin'!B6</f>
        <v>Nguyễn Tuyên </v>
      </c>
      <c r="N26" s="1634"/>
      <c r="O26" s="1634"/>
      <c r="P26" s="1634"/>
      <c r="Q26" s="1634"/>
      <c r="R26" s="1634"/>
      <c r="S26" s="1634"/>
      <c r="T26" s="1634"/>
    </row>
    <row r="27" spans="2:20" ht="18.75">
      <c r="B27" s="579"/>
      <c r="C27" s="579"/>
      <c r="D27" s="579"/>
      <c r="E27" s="579"/>
      <c r="F27" s="682"/>
      <c r="G27" s="682"/>
      <c r="H27" s="682"/>
      <c r="I27" s="635"/>
      <c r="J27" s="635"/>
      <c r="K27" s="635"/>
      <c r="L27" s="635"/>
      <c r="M27" s="577"/>
      <c r="N27" s="577"/>
      <c r="O27" s="577"/>
      <c r="P27" s="577"/>
      <c r="Q27" s="577"/>
      <c r="R27" s="577"/>
      <c r="S27" s="577"/>
      <c r="T27" s="577"/>
    </row>
    <row r="28" spans="2:20" ht="18.75">
      <c r="B28" s="579"/>
      <c r="C28" s="579"/>
      <c r="D28" s="579"/>
      <c r="E28" s="579"/>
      <c r="F28" s="682"/>
      <c r="G28" s="682"/>
      <c r="H28" s="682"/>
      <c r="I28" s="635"/>
      <c r="J28" s="635"/>
      <c r="K28" s="635"/>
      <c r="L28" s="635"/>
      <c r="M28" s="577"/>
      <c r="N28" s="577"/>
      <c r="O28" s="577"/>
      <c r="P28" s="577"/>
      <c r="Q28" s="577"/>
      <c r="R28" s="577"/>
      <c r="S28" s="577"/>
      <c r="T28" s="577"/>
    </row>
    <row r="29" s="707" customFormat="1" ht="15" hidden="1">
      <c r="A29" s="706" t="s">
        <v>224</v>
      </c>
    </row>
    <row r="30" spans="2:8" s="708" customFormat="1" ht="15" hidden="1">
      <c r="B30" s="709" t="s">
        <v>276</v>
      </c>
      <c r="C30" s="709"/>
      <c r="D30" s="709"/>
      <c r="E30" s="709"/>
      <c r="F30" s="709"/>
      <c r="G30" s="709"/>
      <c r="H30" s="709"/>
    </row>
    <row r="31" spans="2:8" s="710" customFormat="1" ht="15" hidden="1">
      <c r="B31" s="709" t="s">
        <v>277</v>
      </c>
      <c r="C31" s="643"/>
      <c r="D31" s="643"/>
      <c r="E31" s="643"/>
      <c r="F31" s="643"/>
      <c r="G31" s="643"/>
      <c r="H31" s="643"/>
    </row>
    <row r="32" ht="12.75" hidden="1"/>
    <row r="33" ht="12.75" hidden="1"/>
    <row r="34" ht="12.75" hidden="1"/>
    <row r="35" ht="12.75" hidden="1"/>
    <row r="36" ht="12.75" hidden="1"/>
  </sheetData>
  <sheetProtection/>
  <mergeCells count="39">
    <mergeCell ref="C5:C8"/>
    <mergeCell ref="J7:J8"/>
    <mergeCell ref="K7:M7"/>
    <mergeCell ref="N7:P7"/>
    <mergeCell ref="Q7:Q8"/>
    <mergeCell ref="R7:R8"/>
    <mergeCell ref="D5:J5"/>
    <mergeCell ref="A1:C1"/>
    <mergeCell ref="E1:N1"/>
    <mergeCell ref="P1:T1"/>
    <mergeCell ref="A2:D2"/>
    <mergeCell ref="E2:N2"/>
    <mergeCell ref="P2:T2"/>
    <mergeCell ref="A3:C3"/>
    <mergeCell ref="E3:N3"/>
    <mergeCell ref="P3:T3"/>
    <mergeCell ref="A4:C4"/>
    <mergeCell ref="D4:N4"/>
    <mergeCell ref="P4:T4"/>
    <mergeCell ref="A5:B8"/>
    <mergeCell ref="A10:B10"/>
    <mergeCell ref="K5:T6"/>
    <mergeCell ref="D6:J6"/>
    <mergeCell ref="D7:E7"/>
    <mergeCell ref="F7:G7"/>
    <mergeCell ref="H7:I7"/>
    <mergeCell ref="S7:S8"/>
    <mergeCell ref="T7:T8"/>
    <mergeCell ref="A9:B9"/>
    <mergeCell ref="M20:T20"/>
    <mergeCell ref="B26:E26"/>
    <mergeCell ref="M26:T26"/>
    <mergeCell ref="B21:E21"/>
    <mergeCell ref="M21:T21"/>
    <mergeCell ref="B22:E22"/>
    <mergeCell ref="M22:T22"/>
    <mergeCell ref="B24:F24"/>
    <mergeCell ref="N24:S24"/>
    <mergeCell ref="B20:F20"/>
  </mergeCells>
  <printOptions horizontalCentered="1"/>
  <pageMargins left="0.4" right="0.21" top="0.27" bottom="0.15" header="0.2" footer="0.18"/>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sheetPr>
    <tabColor indexed="39"/>
  </sheetPr>
  <dimension ref="A1:P35"/>
  <sheetViews>
    <sheetView zoomScaleSheetLayoutView="85" zoomScalePageLayoutView="0" workbookViewId="0" topLeftCell="A4">
      <selection activeCell="A15" sqref="A15:L15"/>
    </sheetView>
  </sheetViews>
  <sheetFormatPr defaultColWidth="9.00390625" defaultRowHeight="15.75"/>
  <cols>
    <col min="1" max="1" width="4.75390625" style="712" customWidth="1"/>
    <col min="2" max="2" width="26.125" style="712" customWidth="1"/>
    <col min="3" max="3" width="10.125" style="711" customWidth="1"/>
    <col min="4" max="7" width="8.00390625" style="711" customWidth="1"/>
    <col min="8" max="8" width="12.125" style="711" customWidth="1"/>
    <col min="9" max="9" width="9.75390625" style="711" customWidth="1"/>
    <col min="10" max="10" width="11.125" style="711" customWidth="1"/>
    <col min="11" max="11" width="15.25390625" style="711" customWidth="1"/>
    <col min="12" max="12" width="11.125" style="711" customWidth="1"/>
    <col min="13" max="16384" width="9.00390625" style="711" customWidth="1"/>
  </cols>
  <sheetData>
    <row r="1" spans="1:12" ht="21" customHeight="1">
      <c r="A1" s="1809" t="s">
        <v>278</v>
      </c>
      <c r="B1" s="1809"/>
      <c r="C1" s="1809"/>
      <c r="D1" s="1730" t="s">
        <v>660</v>
      </c>
      <c r="E1" s="1730"/>
      <c r="F1" s="1730"/>
      <c r="G1" s="1730"/>
      <c r="H1" s="1730"/>
      <c r="I1" s="1730"/>
      <c r="J1" s="1810" t="s">
        <v>661</v>
      </c>
      <c r="K1" s="1811"/>
      <c r="L1" s="1811"/>
    </row>
    <row r="2" spans="1:12" ht="15.75" customHeight="1">
      <c r="A2" s="1812" t="s">
        <v>724</v>
      </c>
      <c r="B2" s="1812"/>
      <c r="C2" s="1812"/>
      <c r="D2" s="1730"/>
      <c r="E2" s="1730"/>
      <c r="F2" s="1730"/>
      <c r="G2" s="1730"/>
      <c r="H2" s="1730"/>
      <c r="I2" s="1730"/>
      <c r="J2" s="1818" t="str">
        <f>'Thong tin'!B4</f>
        <v>Cục THADS tỉnh Tuyên Quang</v>
      </c>
      <c r="K2" s="1818"/>
      <c r="L2" s="1818"/>
    </row>
    <row r="3" spans="1:12" ht="18.75" customHeight="1">
      <c r="A3" s="1817" t="s">
        <v>343</v>
      </c>
      <c r="B3" s="1817"/>
      <c r="C3" s="1817"/>
      <c r="D3" s="1819" t="str">
        <f>'Thong tin'!B3</f>
        <v>06 tháng / năm 2017</v>
      </c>
      <c r="E3" s="1819"/>
      <c r="F3" s="1819"/>
      <c r="G3" s="1819"/>
      <c r="H3" s="1819"/>
      <c r="I3" s="1819"/>
      <c r="J3" s="1820" t="s">
        <v>662</v>
      </c>
      <c r="K3" s="1821"/>
      <c r="L3" s="1821"/>
    </row>
    <row r="4" spans="1:12" ht="16.5" customHeight="1">
      <c r="A4" s="786" t="s">
        <v>362</v>
      </c>
      <c r="B4" s="787"/>
      <c r="C4" s="788"/>
      <c r="D4" s="781"/>
      <c r="E4" s="781"/>
      <c r="F4" s="781"/>
      <c r="G4" s="781"/>
      <c r="H4" s="781"/>
      <c r="I4" s="781"/>
      <c r="J4" s="1822" t="s">
        <v>410</v>
      </c>
      <c r="K4" s="1823"/>
      <c r="L4" s="1823"/>
    </row>
    <row r="5" spans="3:12" ht="15.75" customHeight="1">
      <c r="C5" s="801"/>
      <c r="D5" s="801"/>
      <c r="H5" s="802"/>
      <c r="I5" s="802"/>
      <c r="J5" s="1824" t="s">
        <v>279</v>
      </c>
      <c r="K5" s="1824"/>
      <c r="L5" s="1824"/>
    </row>
    <row r="6" spans="2:12" ht="0.75" customHeight="1">
      <c r="B6" s="804"/>
      <c r="C6" s="801"/>
      <c r="D6" s="801"/>
      <c r="E6" s="805"/>
      <c r="F6" s="805"/>
      <c r="G6" s="805"/>
      <c r="H6" s="802"/>
      <c r="I6" s="802"/>
      <c r="J6" s="803"/>
      <c r="K6" s="803"/>
      <c r="L6" s="803"/>
    </row>
    <row r="7" spans="3:12" ht="0.75" customHeight="1">
      <c r="C7" s="713"/>
      <c r="D7" s="713"/>
      <c r="H7" s="714"/>
      <c r="I7" s="714"/>
      <c r="J7" s="800"/>
      <c r="K7" s="800"/>
      <c r="L7" s="800"/>
    </row>
    <row r="8" spans="1:12" ht="22.5" customHeight="1">
      <c r="A8" s="1815" t="s">
        <v>71</v>
      </c>
      <c r="B8" s="1815"/>
      <c r="C8" s="1816" t="s">
        <v>37</v>
      </c>
      <c r="D8" s="1816" t="s">
        <v>280</v>
      </c>
      <c r="E8" s="1816"/>
      <c r="F8" s="1816"/>
      <c r="G8" s="1816"/>
      <c r="H8" s="1816" t="s">
        <v>281</v>
      </c>
      <c r="I8" s="1816"/>
      <c r="J8" s="1816" t="s">
        <v>282</v>
      </c>
      <c r="K8" s="1816"/>
      <c r="L8" s="1816"/>
    </row>
    <row r="9" spans="1:12" ht="54.75" customHeight="1">
      <c r="A9" s="1815"/>
      <c r="B9" s="1815"/>
      <c r="C9" s="1816"/>
      <c r="D9" s="689" t="s">
        <v>283</v>
      </c>
      <c r="E9" s="689" t="s">
        <v>284</v>
      </c>
      <c r="F9" s="689" t="s">
        <v>433</v>
      </c>
      <c r="G9" s="689" t="s">
        <v>285</v>
      </c>
      <c r="H9" s="689" t="s">
        <v>286</v>
      </c>
      <c r="I9" s="689" t="s">
        <v>287</v>
      </c>
      <c r="J9" s="689" t="s">
        <v>288</v>
      </c>
      <c r="K9" s="689" t="s">
        <v>289</v>
      </c>
      <c r="L9" s="689" t="s">
        <v>290</v>
      </c>
    </row>
    <row r="10" spans="1:12" s="715" customFormat="1" ht="16.5" customHeight="1">
      <c r="A10" s="1813" t="s">
        <v>6</v>
      </c>
      <c r="B10" s="1813"/>
      <c r="C10" s="693">
        <v>1</v>
      </c>
      <c r="D10" s="693">
        <v>2</v>
      </c>
      <c r="E10" s="693">
        <v>3</v>
      </c>
      <c r="F10" s="693">
        <v>4</v>
      </c>
      <c r="G10" s="693">
        <v>5</v>
      </c>
      <c r="H10" s="693">
        <v>6</v>
      </c>
      <c r="I10" s="693">
        <v>7</v>
      </c>
      <c r="J10" s="693">
        <v>8</v>
      </c>
      <c r="K10" s="693">
        <v>9</v>
      </c>
      <c r="L10" s="693">
        <v>10</v>
      </c>
    </row>
    <row r="11" spans="1:12" s="715" customFormat="1" ht="16.5" customHeight="1">
      <c r="A11" s="1814" t="s">
        <v>666</v>
      </c>
      <c r="B11" s="1814"/>
      <c r="C11" s="851">
        <f>SUM(C12:C13)</f>
        <v>0</v>
      </c>
      <c r="D11" s="851">
        <f aca="true" t="shared" si="0" ref="D11:L11">SUM(D12:D13)</f>
        <v>0</v>
      </c>
      <c r="E11" s="851">
        <f t="shared" si="0"/>
        <v>0</v>
      </c>
      <c r="F11" s="851">
        <f t="shared" si="0"/>
        <v>0</v>
      </c>
      <c r="G11" s="851">
        <f t="shared" si="0"/>
        <v>0</v>
      </c>
      <c r="H11" s="851">
        <f t="shared" si="0"/>
        <v>0</v>
      </c>
      <c r="I11" s="851">
        <f t="shared" si="0"/>
        <v>0</v>
      </c>
      <c r="J11" s="851">
        <f t="shared" si="0"/>
        <v>0</v>
      </c>
      <c r="K11" s="851">
        <f t="shared" si="0"/>
        <v>0</v>
      </c>
      <c r="L11" s="851">
        <f t="shared" si="0"/>
        <v>0</v>
      </c>
    </row>
    <row r="12" spans="1:12" s="715" customFormat="1" ht="16.5" customHeight="1">
      <c r="A12" s="667" t="s">
        <v>0</v>
      </c>
      <c r="B12" s="668" t="s">
        <v>291</v>
      </c>
      <c r="C12" s="851">
        <f>SUM(D12:G12)</f>
        <v>0</v>
      </c>
      <c r="D12" s="851"/>
      <c r="E12" s="851"/>
      <c r="F12" s="851"/>
      <c r="G12" s="851"/>
      <c r="H12" s="851"/>
      <c r="I12" s="851"/>
      <c r="J12" s="852"/>
      <c r="K12" s="852"/>
      <c r="L12" s="852" t="s">
        <v>587</v>
      </c>
    </row>
    <row r="13" spans="1:12" s="715" customFormat="1" ht="26.25" customHeight="1">
      <c r="A13" s="667" t="s">
        <v>1</v>
      </c>
      <c r="B13" s="668" t="s">
        <v>18</v>
      </c>
      <c r="C13" s="851">
        <f>SUM(C14:C20)</f>
        <v>0</v>
      </c>
      <c r="D13" s="851">
        <f aca="true" t="shared" si="1" ref="D13:L13">SUM(D14:D20)</f>
        <v>0</v>
      </c>
      <c r="E13" s="851">
        <f t="shared" si="1"/>
        <v>0</v>
      </c>
      <c r="F13" s="851">
        <f t="shared" si="1"/>
        <v>0</v>
      </c>
      <c r="G13" s="851">
        <f t="shared" si="1"/>
        <v>0</v>
      </c>
      <c r="H13" s="851">
        <f t="shared" si="1"/>
        <v>0</v>
      </c>
      <c r="I13" s="851">
        <f t="shared" si="1"/>
        <v>0</v>
      </c>
      <c r="J13" s="851">
        <f t="shared" si="1"/>
        <v>0</v>
      </c>
      <c r="K13" s="851">
        <f t="shared" si="1"/>
        <v>0</v>
      </c>
      <c r="L13" s="851">
        <f t="shared" si="1"/>
        <v>0</v>
      </c>
    </row>
    <row r="14" spans="1:12" s="715" customFormat="1" ht="26.25" customHeight="1">
      <c r="A14" s="716">
        <v>1</v>
      </c>
      <c r="B14" s="1149" t="s">
        <v>714</v>
      </c>
      <c r="C14" s="1150">
        <f aca="true" t="shared" si="2" ref="C14:C20">SUM(D14:G14)</f>
        <v>0</v>
      </c>
      <c r="D14" s="1150"/>
      <c r="E14" s="1150"/>
      <c r="F14" s="1150"/>
      <c r="G14" s="1150"/>
      <c r="H14" s="1150"/>
      <c r="I14" s="1150"/>
      <c r="J14" s="1151"/>
      <c r="K14" s="1151"/>
      <c r="L14" s="1151"/>
    </row>
    <row r="15" spans="1:12" s="715" customFormat="1" ht="26.25" customHeight="1">
      <c r="A15" s="1152">
        <v>2</v>
      </c>
      <c r="B15" s="1149" t="s">
        <v>715</v>
      </c>
      <c r="C15" s="1150">
        <f t="shared" si="2"/>
        <v>0</v>
      </c>
      <c r="D15" s="1150"/>
      <c r="E15" s="1150" t="s">
        <v>587</v>
      </c>
      <c r="F15" s="1150"/>
      <c r="G15" s="1150"/>
      <c r="H15" s="1150"/>
      <c r="I15" s="1150" t="s">
        <v>587</v>
      </c>
      <c r="J15" s="1151"/>
      <c r="K15" s="1151"/>
      <c r="L15" s="1151"/>
    </row>
    <row r="16" spans="1:12" s="715" customFormat="1" ht="26.25" customHeight="1">
      <c r="A16" s="716">
        <v>3</v>
      </c>
      <c r="B16" s="837" t="s">
        <v>716</v>
      </c>
      <c r="C16" s="851">
        <f t="shared" si="2"/>
        <v>0</v>
      </c>
      <c r="D16" s="851"/>
      <c r="E16" s="851"/>
      <c r="F16" s="851"/>
      <c r="G16" s="851"/>
      <c r="H16" s="851"/>
      <c r="I16" s="851"/>
      <c r="J16" s="852"/>
      <c r="K16" s="852"/>
      <c r="L16" s="852"/>
    </row>
    <row r="17" spans="1:12" s="715" customFormat="1" ht="26.25" customHeight="1">
      <c r="A17" s="716">
        <v>4</v>
      </c>
      <c r="B17" s="1149" t="s">
        <v>717</v>
      </c>
      <c r="C17" s="1150">
        <f t="shared" si="2"/>
        <v>0</v>
      </c>
      <c r="D17" s="1150"/>
      <c r="E17" s="1150"/>
      <c r="F17" s="1150"/>
      <c r="G17" s="1150">
        <v>0</v>
      </c>
      <c r="H17" s="1150">
        <v>0</v>
      </c>
      <c r="I17" s="1150"/>
      <c r="J17" s="1151">
        <v>0</v>
      </c>
      <c r="K17" s="1151"/>
      <c r="L17" s="1151"/>
    </row>
    <row r="18" spans="1:12" s="715" customFormat="1" ht="26.25" customHeight="1">
      <c r="A18" s="716">
        <v>5</v>
      </c>
      <c r="B18" s="837" t="s">
        <v>718</v>
      </c>
      <c r="C18" s="851">
        <f t="shared" si="2"/>
        <v>0</v>
      </c>
      <c r="D18" s="851"/>
      <c r="E18" s="851">
        <v>0</v>
      </c>
      <c r="F18" s="851"/>
      <c r="G18" s="851"/>
      <c r="H18" s="851">
        <v>0</v>
      </c>
      <c r="I18" s="851"/>
      <c r="J18" s="852">
        <v>0</v>
      </c>
      <c r="K18" s="852"/>
      <c r="L18" s="852"/>
    </row>
    <row r="19" spans="1:12" s="715" customFormat="1" ht="26.25" customHeight="1">
      <c r="A19" s="716">
        <v>6</v>
      </c>
      <c r="B19" s="837" t="s">
        <v>719</v>
      </c>
      <c r="C19" s="851">
        <f t="shared" si="2"/>
        <v>0</v>
      </c>
      <c r="D19" s="851"/>
      <c r="E19" s="851">
        <v>0</v>
      </c>
      <c r="F19" s="851"/>
      <c r="G19" s="851"/>
      <c r="H19" s="851">
        <v>0</v>
      </c>
      <c r="I19" s="851"/>
      <c r="J19" s="852">
        <v>0</v>
      </c>
      <c r="K19" s="852"/>
      <c r="L19" s="852"/>
    </row>
    <row r="20" spans="1:12" s="715" customFormat="1" ht="26.25" customHeight="1">
      <c r="A20" s="716">
        <v>7</v>
      </c>
      <c r="B20" s="837" t="s">
        <v>720</v>
      </c>
      <c r="C20" s="851">
        <f t="shared" si="2"/>
        <v>0</v>
      </c>
      <c r="D20" s="851"/>
      <c r="E20" s="851"/>
      <c r="F20" s="851"/>
      <c r="G20" s="851"/>
      <c r="H20" s="851"/>
      <c r="I20" s="851"/>
      <c r="J20" s="852"/>
      <c r="K20" s="852"/>
      <c r="L20" s="852"/>
    </row>
    <row r="21" ht="15" customHeight="1"/>
    <row r="22" spans="1:12" ht="18" customHeight="1">
      <c r="A22" s="1808"/>
      <c r="B22" s="1808"/>
      <c r="C22" s="1808"/>
      <c r="D22" s="1808"/>
      <c r="E22" s="717"/>
      <c r="F22" s="1794" t="str">
        <f>'Thong tin'!B8</f>
        <v>Tuyên Quang, ngày 05 tháng 04 năm 2017</v>
      </c>
      <c r="G22" s="1794"/>
      <c r="H22" s="1794"/>
      <c r="I22" s="1794"/>
      <c r="J22" s="1794"/>
      <c r="K22" s="1794"/>
      <c r="L22" s="1794"/>
    </row>
    <row r="23" spans="1:16" ht="18" customHeight="1">
      <c r="A23" s="1722" t="s">
        <v>248</v>
      </c>
      <c r="B23" s="1722"/>
      <c r="C23" s="1722"/>
      <c r="D23" s="1722"/>
      <c r="E23" s="676"/>
      <c r="F23" s="1713" t="str">
        <f>'Thong tin'!B7</f>
        <v>CỤC TRƯỞNG</v>
      </c>
      <c r="G23" s="1713"/>
      <c r="H23" s="1713"/>
      <c r="I23" s="1713"/>
      <c r="J23" s="1713"/>
      <c r="K23" s="1713"/>
      <c r="L23" s="1713"/>
      <c r="P23" s="718"/>
    </row>
    <row r="24" spans="1:12" ht="18" customHeight="1">
      <c r="A24" s="1712"/>
      <c r="B24" s="1712"/>
      <c r="C24" s="1712"/>
      <c r="D24" s="1712"/>
      <c r="E24" s="782"/>
      <c r="F24" s="1713"/>
      <c r="G24" s="1713"/>
      <c r="H24" s="1713"/>
      <c r="I24" s="1713"/>
      <c r="J24" s="1713"/>
      <c r="K24" s="1713"/>
      <c r="L24" s="1713"/>
    </row>
    <row r="25" spans="1:12" ht="18" customHeight="1">
      <c r="A25" s="783"/>
      <c r="B25" s="783"/>
      <c r="C25" s="782"/>
      <c r="D25" s="782"/>
      <c r="E25" s="782"/>
      <c r="F25" s="782"/>
      <c r="G25" s="782"/>
      <c r="H25" s="782"/>
      <c r="I25" s="782"/>
      <c r="J25" s="782"/>
      <c r="K25" s="782"/>
      <c r="L25" s="782"/>
    </row>
    <row r="26" spans="1:12" ht="18">
      <c r="A26" s="783"/>
      <c r="B26" s="1807"/>
      <c r="C26" s="1807"/>
      <c r="D26" s="782"/>
      <c r="E26" s="782"/>
      <c r="F26" s="782"/>
      <c r="G26" s="782"/>
      <c r="H26" s="1807"/>
      <c r="I26" s="1807"/>
      <c r="J26" s="1807"/>
      <c r="K26" s="782"/>
      <c r="L26" s="782"/>
    </row>
    <row r="27" spans="1:12" ht="13.5" customHeight="1">
      <c r="A27" s="783"/>
      <c r="B27" s="783"/>
      <c r="C27" s="782"/>
      <c r="D27" s="782"/>
      <c r="E27" s="782"/>
      <c r="F27" s="782"/>
      <c r="G27" s="782"/>
      <c r="H27" s="782"/>
      <c r="I27" s="782"/>
      <c r="J27" s="782"/>
      <c r="K27" s="782"/>
      <c r="L27" s="782"/>
    </row>
    <row r="28" spans="1:12" ht="13.5" customHeight="1" hidden="1">
      <c r="A28" s="783"/>
      <c r="B28" s="783"/>
      <c r="C28" s="782"/>
      <c r="D28" s="782"/>
      <c r="E28" s="782"/>
      <c r="F28" s="782"/>
      <c r="G28" s="782"/>
      <c r="H28" s="782"/>
      <c r="I28" s="782"/>
      <c r="J28" s="782"/>
      <c r="K28" s="782"/>
      <c r="L28" s="782"/>
    </row>
    <row r="29" spans="1:12" s="637" customFormat="1" ht="19.5" hidden="1">
      <c r="A29" s="784" t="s">
        <v>292</v>
      </c>
      <c r="B29" s="769"/>
      <c r="C29" s="770"/>
      <c r="D29" s="770"/>
      <c r="E29" s="770"/>
      <c r="F29" s="770"/>
      <c r="G29" s="770"/>
      <c r="H29" s="770"/>
      <c r="I29" s="770"/>
      <c r="J29" s="770"/>
      <c r="K29" s="770"/>
      <c r="L29" s="770"/>
    </row>
    <row r="30" spans="1:12" s="686" customFormat="1" ht="18.75" hidden="1">
      <c r="A30" s="778"/>
      <c r="B30" s="785" t="s">
        <v>293</v>
      </c>
      <c r="C30" s="785"/>
      <c r="D30" s="785"/>
      <c r="E30" s="777"/>
      <c r="F30" s="777"/>
      <c r="G30" s="777"/>
      <c r="H30" s="777"/>
      <c r="I30" s="777"/>
      <c r="J30" s="777"/>
      <c r="K30" s="777"/>
      <c r="L30" s="777"/>
    </row>
    <row r="31" spans="1:12" s="686" customFormat="1" ht="18.75" hidden="1">
      <c r="A31" s="778"/>
      <c r="B31" s="785" t="s">
        <v>294</v>
      </c>
      <c r="C31" s="785"/>
      <c r="D31" s="785"/>
      <c r="E31" s="785"/>
      <c r="F31" s="777"/>
      <c r="G31" s="777"/>
      <c r="H31" s="777"/>
      <c r="I31" s="777"/>
      <c r="J31" s="777"/>
      <c r="K31" s="777"/>
      <c r="L31" s="777"/>
    </row>
    <row r="32" spans="1:12" s="686" customFormat="1" ht="18.75" hidden="1">
      <c r="A32" s="778"/>
      <c r="B32" s="777" t="s">
        <v>295</v>
      </c>
      <c r="C32" s="777"/>
      <c r="D32" s="777"/>
      <c r="E32" s="777"/>
      <c r="F32" s="777"/>
      <c r="G32" s="777"/>
      <c r="H32" s="777"/>
      <c r="I32" s="777"/>
      <c r="J32" s="777"/>
      <c r="K32" s="777"/>
      <c r="L32" s="777"/>
    </row>
    <row r="33" spans="1:12" ht="18">
      <c r="A33" s="783"/>
      <c r="B33" s="783"/>
      <c r="C33" s="782"/>
      <c r="D33" s="782"/>
      <c r="E33" s="782"/>
      <c r="F33" s="782"/>
      <c r="G33" s="782"/>
      <c r="H33" s="782"/>
      <c r="I33" s="782"/>
      <c r="J33" s="782"/>
      <c r="K33" s="782"/>
      <c r="L33" s="782"/>
    </row>
    <row r="34" spans="1:12" ht="18.75">
      <c r="A34" s="1634" t="str">
        <f>'Thong tin'!B5</f>
        <v>Duy Thị Thúy</v>
      </c>
      <c r="B34" s="1634"/>
      <c r="C34" s="1634"/>
      <c r="D34" s="1634"/>
      <c r="E34" s="780"/>
      <c r="F34" s="1634" t="str">
        <f>'Thong tin'!B6</f>
        <v>Nguyễn Tuyên </v>
      </c>
      <c r="G34" s="1634"/>
      <c r="H34" s="1634"/>
      <c r="I34" s="1634"/>
      <c r="J34" s="1634"/>
      <c r="K34" s="1634"/>
      <c r="L34" s="1634"/>
    </row>
    <row r="35" spans="1:12" ht="18">
      <c r="A35" s="719"/>
      <c r="B35" s="719"/>
      <c r="C35" s="717"/>
      <c r="D35" s="717"/>
      <c r="E35" s="717"/>
      <c r="F35" s="717"/>
      <c r="G35" s="717"/>
      <c r="H35" s="717"/>
      <c r="I35" s="717"/>
      <c r="J35" s="717"/>
      <c r="K35" s="717"/>
      <c r="L35" s="717"/>
    </row>
  </sheetData>
  <sheetProtection/>
  <mergeCells count="27">
    <mergeCell ref="D8:G8"/>
    <mergeCell ref="A3:C3"/>
    <mergeCell ref="J2:L2"/>
    <mergeCell ref="D3:I3"/>
    <mergeCell ref="J3:L3"/>
    <mergeCell ref="J4:L4"/>
    <mergeCell ref="J5:L5"/>
    <mergeCell ref="H8:I8"/>
    <mergeCell ref="J8:L8"/>
    <mergeCell ref="A22:D22"/>
    <mergeCell ref="F22:L22"/>
    <mergeCell ref="A1:C1"/>
    <mergeCell ref="D1:I2"/>
    <mergeCell ref="J1:L1"/>
    <mergeCell ref="A2:C2"/>
    <mergeCell ref="A10:B10"/>
    <mergeCell ref="A11:B11"/>
    <mergeCell ref="A8:B9"/>
    <mergeCell ref="C8:C9"/>
    <mergeCell ref="A34:D34"/>
    <mergeCell ref="F34:L34"/>
    <mergeCell ref="A23:D23"/>
    <mergeCell ref="F23:L23"/>
    <mergeCell ref="A24:D24"/>
    <mergeCell ref="F24:L24"/>
    <mergeCell ref="B26:C26"/>
    <mergeCell ref="H26:J26"/>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28"/>
  <sheetViews>
    <sheetView zoomScaleSheetLayoutView="100" zoomScalePageLayoutView="0" workbookViewId="0" topLeftCell="A4">
      <selection activeCell="M17" sqref="M17"/>
    </sheetView>
  </sheetViews>
  <sheetFormatPr defaultColWidth="9.00390625" defaultRowHeight="15.75"/>
  <cols>
    <col min="1" max="1" width="3.875" style="711" customWidth="1"/>
    <col min="2" max="2" width="25.375" style="711" bestFit="1" customWidth="1"/>
    <col min="3" max="3" width="8.00390625" style="711" customWidth="1"/>
    <col min="4" max="4" width="8.625" style="711" customWidth="1"/>
    <col min="5" max="5" width="8.875" style="711" customWidth="1"/>
    <col min="6" max="6" width="9.375" style="711" customWidth="1"/>
    <col min="7" max="7" width="8.375" style="711" customWidth="1"/>
    <col min="8" max="8" width="10.125" style="711" customWidth="1"/>
    <col min="9" max="10" width="10.625" style="711" customWidth="1"/>
    <col min="11" max="11" width="12.50390625" style="711" customWidth="1"/>
    <col min="12" max="12" width="8.875" style="711" customWidth="1"/>
    <col min="13" max="13" width="10.625" style="711" customWidth="1"/>
    <col min="14" max="16384" width="9.00390625" style="711" customWidth="1"/>
  </cols>
  <sheetData>
    <row r="1" spans="1:13" ht="24" customHeight="1">
      <c r="A1" s="1843" t="s">
        <v>296</v>
      </c>
      <c r="B1" s="1843"/>
      <c r="C1" s="1843"/>
      <c r="D1" s="1730" t="s">
        <v>663</v>
      </c>
      <c r="E1" s="1730"/>
      <c r="F1" s="1730"/>
      <c r="G1" s="1730"/>
      <c r="H1" s="1730"/>
      <c r="I1" s="1730"/>
      <c r="K1" s="789" t="s">
        <v>659</v>
      </c>
      <c r="L1" s="720"/>
      <c r="M1" s="720"/>
    </row>
    <row r="2" spans="1:13" ht="15.75" customHeight="1">
      <c r="A2" s="1844" t="s">
        <v>725</v>
      </c>
      <c r="B2" s="1844"/>
      <c r="C2" s="1844"/>
      <c r="D2" s="1819" t="str">
        <f>'Thong tin'!B3</f>
        <v>06 tháng / năm 2017</v>
      </c>
      <c r="E2" s="1819"/>
      <c r="F2" s="1819"/>
      <c r="G2" s="1819"/>
      <c r="H2" s="1819"/>
      <c r="I2" s="1819"/>
      <c r="K2" s="1831" t="str">
        <f>'Thong tin'!B4</f>
        <v>Cục THADS tỉnh Tuyên Quang</v>
      </c>
      <c r="L2" s="1831"/>
      <c r="M2" s="1831"/>
    </row>
    <row r="3" spans="1:13" ht="18.75" customHeight="1">
      <c r="A3" s="1781" t="s">
        <v>343</v>
      </c>
      <c r="B3" s="1781"/>
      <c r="C3" s="1781"/>
      <c r="D3" s="607"/>
      <c r="E3" s="607"/>
      <c r="F3" s="607"/>
      <c r="G3" s="607"/>
      <c r="H3" s="607"/>
      <c r="I3" s="607"/>
      <c r="K3" s="611" t="s">
        <v>466</v>
      </c>
      <c r="L3" s="611"/>
      <c r="M3" s="611"/>
    </row>
    <row r="4" spans="1:13" ht="15.75" customHeight="1">
      <c r="A4" s="1842" t="s">
        <v>436</v>
      </c>
      <c r="B4" s="1842"/>
      <c r="C4" s="1842"/>
      <c r="D4" s="1832"/>
      <c r="E4" s="1832"/>
      <c r="F4" s="1832"/>
      <c r="G4" s="1832"/>
      <c r="H4" s="1832"/>
      <c r="I4" s="1832"/>
      <c r="K4" s="720" t="s">
        <v>401</v>
      </c>
      <c r="L4" s="720"/>
      <c r="M4" s="720"/>
    </row>
    <row r="5" spans="1:13" ht="15.75">
      <c r="A5" s="1834"/>
      <c r="B5" s="1834"/>
      <c r="C5" s="606"/>
      <c r="I5" s="721"/>
      <c r="J5" s="1835" t="s">
        <v>437</v>
      </c>
      <c r="K5" s="1835"/>
      <c r="L5" s="1835"/>
      <c r="M5" s="1835"/>
    </row>
    <row r="6" spans="1:13" ht="18.75" customHeight="1">
      <c r="A6" s="1748" t="s">
        <v>71</v>
      </c>
      <c r="B6" s="1749"/>
      <c r="C6" s="1825" t="s">
        <v>297</v>
      </c>
      <c r="D6" s="1838" t="s">
        <v>298</v>
      </c>
      <c r="E6" s="1839"/>
      <c r="F6" s="1839"/>
      <c r="G6" s="1840"/>
      <c r="H6" s="1838" t="s">
        <v>299</v>
      </c>
      <c r="I6" s="1839"/>
      <c r="J6" s="1839"/>
      <c r="K6" s="1839"/>
      <c r="L6" s="1839"/>
      <c r="M6" s="1840"/>
    </row>
    <row r="7" spans="1:13" ht="15.75" customHeight="1">
      <c r="A7" s="1750"/>
      <c r="B7" s="1751"/>
      <c r="C7" s="1833"/>
      <c r="D7" s="1838" t="s">
        <v>7</v>
      </c>
      <c r="E7" s="1841"/>
      <c r="F7" s="1839"/>
      <c r="G7" s="1840"/>
      <c r="H7" s="1825" t="s">
        <v>36</v>
      </c>
      <c r="I7" s="1838" t="s">
        <v>7</v>
      </c>
      <c r="J7" s="1839"/>
      <c r="K7" s="1839"/>
      <c r="L7" s="1839"/>
      <c r="M7" s="1840"/>
    </row>
    <row r="8" spans="1:13" ht="14.25" customHeight="1">
      <c r="A8" s="1750"/>
      <c r="B8" s="1751"/>
      <c r="C8" s="1833"/>
      <c r="D8" s="1825" t="s">
        <v>300</v>
      </c>
      <c r="E8" s="838"/>
      <c r="F8" s="1825" t="s">
        <v>302</v>
      </c>
      <c r="G8" s="1825" t="s">
        <v>301</v>
      </c>
      <c r="H8" s="1833"/>
      <c r="I8" s="1825" t="s">
        <v>303</v>
      </c>
      <c r="J8" s="1825" t="s">
        <v>304</v>
      </c>
      <c r="K8" s="1825" t="s">
        <v>305</v>
      </c>
      <c r="L8" s="1825" t="s">
        <v>306</v>
      </c>
      <c r="M8" s="1825" t="s">
        <v>307</v>
      </c>
    </row>
    <row r="9" spans="1:13" ht="77.25" customHeight="1">
      <c r="A9" s="1836"/>
      <c r="B9" s="1837"/>
      <c r="C9" s="1826"/>
      <c r="D9" s="1826"/>
      <c r="E9" s="839" t="s">
        <v>723</v>
      </c>
      <c r="F9" s="1826"/>
      <c r="G9" s="1826"/>
      <c r="H9" s="1826"/>
      <c r="I9" s="1826"/>
      <c r="J9" s="1826"/>
      <c r="K9" s="1826"/>
      <c r="L9" s="1826"/>
      <c r="M9" s="1826"/>
    </row>
    <row r="10" spans="1:13" s="715" customFormat="1" ht="16.5" customHeight="1">
      <c r="A10" s="1827" t="s">
        <v>6</v>
      </c>
      <c r="B10" s="1828"/>
      <c r="C10" s="693">
        <v>1</v>
      </c>
      <c r="D10" s="693">
        <v>2</v>
      </c>
      <c r="E10" s="693" t="s">
        <v>57</v>
      </c>
      <c r="F10" s="693" t="s">
        <v>72</v>
      </c>
      <c r="G10" s="693" t="s">
        <v>73</v>
      </c>
      <c r="H10" s="693" t="s">
        <v>74</v>
      </c>
      <c r="I10" s="693" t="s">
        <v>75</v>
      </c>
      <c r="J10" s="693" t="s">
        <v>76</v>
      </c>
      <c r="K10" s="693" t="s">
        <v>77</v>
      </c>
      <c r="L10" s="693" t="s">
        <v>100</v>
      </c>
      <c r="M10" s="693" t="s">
        <v>101</v>
      </c>
    </row>
    <row r="11" spans="1:13" s="715" customFormat="1" ht="18" customHeight="1">
      <c r="A11" s="1829" t="s">
        <v>36</v>
      </c>
      <c r="B11" s="1830"/>
      <c r="C11" s="836">
        <f aca="true" t="shared" si="0" ref="C11:M11">C12+C13</f>
        <v>3</v>
      </c>
      <c r="D11" s="836">
        <f t="shared" si="0"/>
        <v>0</v>
      </c>
      <c r="E11" s="836">
        <f t="shared" si="0"/>
        <v>0</v>
      </c>
      <c r="F11" s="836">
        <f t="shared" si="0"/>
        <v>3</v>
      </c>
      <c r="G11" s="836">
        <f t="shared" si="0"/>
        <v>0</v>
      </c>
      <c r="H11" s="836">
        <f t="shared" si="0"/>
        <v>4</v>
      </c>
      <c r="I11" s="836">
        <f t="shared" si="0"/>
        <v>0</v>
      </c>
      <c r="J11" s="836">
        <f t="shared" si="0"/>
        <v>0</v>
      </c>
      <c r="K11" s="836">
        <f t="shared" si="0"/>
        <v>0</v>
      </c>
      <c r="L11" s="836">
        <f t="shared" si="0"/>
        <v>0</v>
      </c>
      <c r="M11" s="836">
        <f t="shared" si="0"/>
        <v>4</v>
      </c>
    </row>
    <row r="12" spans="1:13" s="715" customFormat="1" ht="21.75" customHeight="1">
      <c r="A12" s="716" t="s">
        <v>0</v>
      </c>
      <c r="B12" s="668" t="s">
        <v>226</v>
      </c>
      <c r="C12" s="851">
        <f>D12+E12+F12+G12</f>
        <v>0</v>
      </c>
      <c r="D12" s="851">
        <v>0</v>
      </c>
      <c r="E12" s="851">
        <v>0</v>
      </c>
      <c r="F12" s="851">
        <v>0</v>
      </c>
      <c r="G12" s="851"/>
      <c r="H12" s="851">
        <f>I12+J12+K12+L12+M12</f>
        <v>0</v>
      </c>
      <c r="I12" s="851">
        <v>0</v>
      </c>
      <c r="J12" s="852">
        <v>0</v>
      </c>
      <c r="K12" s="852">
        <v>0</v>
      </c>
      <c r="L12" s="853">
        <v>0</v>
      </c>
      <c r="M12" s="878"/>
    </row>
    <row r="13" spans="1:13" s="715" customFormat="1" ht="21.75" customHeight="1">
      <c r="A13" s="671" t="s">
        <v>1</v>
      </c>
      <c r="B13" s="668" t="s">
        <v>18</v>
      </c>
      <c r="C13" s="851">
        <f>D13+E13+F13+G13</f>
        <v>3</v>
      </c>
      <c r="D13" s="851">
        <f aca="true" t="shared" si="1" ref="D13:M13">SUM(D14:D20)</f>
        <v>0</v>
      </c>
      <c r="E13" s="851">
        <f t="shared" si="1"/>
        <v>0</v>
      </c>
      <c r="F13" s="851">
        <f t="shared" si="1"/>
        <v>3</v>
      </c>
      <c r="G13" s="851">
        <f t="shared" si="1"/>
        <v>0</v>
      </c>
      <c r="H13" s="851">
        <f t="shared" si="1"/>
        <v>4</v>
      </c>
      <c r="I13" s="851">
        <f t="shared" si="1"/>
        <v>0</v>
      </c>
      <c r="J13" s="851">
        <f t="shared" si="1"/>
        <v>0</v>
      </c>
      <c r="K13" s="851">
        <f t="shared" si="1"/>
        <v>0</v>
      </c>
      <c r="L13" s="851">
        <f t="shared" si="1"/>
        <v>0</v>
      </c>
      <c r="M13" s="851">
        <f t="shared" si="1"/>
        <v>4</v>
      </c>
    </row>
    <row r="14" spans="1:13" s="715" customFormat="1" ht="21.75" customHeight="1">
      <c r="A14" s="671">
        <v>1</v>
      </c>
      <c r="B14" s="837" t="s">
        <v>714</v>
      </c>
      <c r="C14" s="851">
        <f aca="true" t="shared" si="2" ref="C14:C20">D14+E14+F14+G14</f>
        <v>0</v>
      </c>
      <c r="D14" s="851"/>
      <c r="E14" s="851"/>
      <c r="F14" s="851"/>
      <c r="G14" s="851"/>
      <c r="H14" s="851">
        <f>I14+J14+K14+L14+M14</f>
        <v>0</v>
      </c>
      <c r="I14" s="851"/>
      <c r="J14" s="852"/>
      <c r="K14" s="852"/>
      <c r="L14" s="852"/>
      <c r="M14" s="1070"/>
    </row>
    <row r="15" spans="1:13" s="715" customFormat="1" ht="21.75" customHeight="1">
      <c r="A15" s="671">
        <v>2</v>
      </c>
      <c r="B15" s="837" t="s">
        <v>715</v>
      </c>
      <c r="C15" s="851">
        <f t="shared" si="2"/>
        <v>0</v>
      </c>
      <c r="D15" s="851"/>
      <c r="E15" s="851"/>
      <c r="F15" s="851"/>
      <c r="G15" s="851"/>
      <c r="H15" s="851">
        <f aca="true" t="shared" si="3" ref="H15:H20">I15+J15+K15+L15+M15</f>
        <v>0</v>
      </c>
      <c r="I15" s="851"/>
      <c r="J15" s="852"/>
      <c r="K15" s="856"/>
      <c r="L15" s="857"/>
      <c r="M15" s="858"/>
    </row>
    <row r="16" spans="1:13" s="715" customFormat="1" ht="21.75" customHeight="1">
      <c r="A16" s="671">
        <v>3</v>
      </c>
      <c r="B16" s="837" t="s">
        <v>716</v>
      </c>
      <c r="C16" s="851">
        <f t="shared" si="2"/>
        <v>1</v>
      </c>
      <c r="D16" s="851"/>
      <c r="E16" s="851"/>
      <c r="F16" s="851">
        <v>1</v>
      </c>
      <c r="G16" s="851"/>
      <c r="H16" s="851">
        <f t="shared" si="3"/>
        <v>1</v>
      </c>
      <c r="I16" s="851"/>
      <c r="J16" s="852"/>
      <c r="K16" s="856"/>
      <c r="L16" s="856"/>
      <c r="M16" s="858">
        <v>1</v>
      </c>
    </row>
    <row r="17" spans="1:13" s="715" customFormat="1" ht="21.75" customHeight="1">
      <c r="A17" s="671">
        <v>4</v>
      </c>
      <c r="B17" s="837" t="s">
        <v>717</v>
      </c>
      <c r="C17" s="851">
        <f t="shared" si="2"/>
        <v>1</v>
      </c>
      <c r="D17" s="997"/>
      <c r="E17" s="994"/>
      <c r="F17" s="997">
        <v>1</v>
      </c>
      <c r="G17" s="994"/>
      <c r="H17" s="851">
        <f t="shared" si="3"/>
        <v>1</v>
      </c>
      <c r="I17" s="995"/>
      <c r="J17" s="995"/>
      <c r="K17" s="996"/>
      <c r="L17" s="996"/>
      <c r="M17" s="998">
        <v>1</v>
      </c>
    </row>
    <row r="18" spans="1:13" s="715" customFormat="1" ht="21.75" customHeight="1">
      <c r="A18" s="671">
        <v>5</v>
      </c>
      <c r="B18" s="837" t="s">
        <v>718</v>
      </c>
      <c r="C18" s="851">
        <f t="shared" si="2"/>
        <v>0</v>
      </c>
      <c r="D18" s="851"/>
      <c r="E18" s="851"/>
      <c r="F18" s="851"/>
      <c r="G18" s="851"/>
      <c r="H18" s="851">
        <f t="shared" si="3"/>
        <v>0</v>
      </c>
      <c r="I18" s="851"/>
      <c r="J18" s="852"/>
      <c r="K18" s="856"/>
      <c r="L18" s="856"/>
      <c r="M18" s="858"/>
    </row>
    <row r="19" spans="1:13" s="715" customFormat="1" ht="21.75" customHeight="1">
      <c r="A19" s="671">
        <v>6</v>
      </c>
      <c r="B19" s="837" t="s">
        <v>719</v>
      </c>
      <c r="C19" s="851">
        <f t="shared" si="2"/>
        <v>0</v>
      </c>
      <c r="D19" s="851"/>
      <c r="E19" s="851"/>
      <c r="F19" s="851"/>
      <c r="G19" s="851"/>
      <c r="H19" s="851">
        <f t="shared" si="3"/>
        <v>0</v>
      </c>
      <c r="I19" s="851"/>
      <c r="J19" s="852"/>
      <c r="K19" s="856"/>
      <c r="L19" s="859"/>
      <c r="M19" s="858"/>
    </row>
    <row r="20" spans="1:13" s="715" customFormat="1" ht="21.75" customHeight="1">
      <c r="A20" s="671">
        <v>7</v>
      </c>
      <c r="B20" s="837" t="s">
        <v>720</v>
      </c>
      <c r="C20" s="851">
        <f t="shared" si="2"/>
        <v>1</v>
      </c>
      <c r="D20" s="851"/>
      <c r="E20" s="851"/>
      <c r="F20" s="851">
        <v>1</v>
      </c>
      <c r="G20" s="851"/>
      <c r="H20" s="851">
        <f t="shared" si="3"/>
        <v>2</v>
      </c>
      <c r="I20" s="851"/>
      <c r="J20" s="852"/>
      <c r="K20" s="856"/>
      <c r="L20" s="856"/>
      <c r="M20" s="858">
        <v>2</v>
      </c>
    </row>
    <row r="21" spans="1:13" ht="25.5" customHeight="1">
      <c r="A21" s="1808"/>
      <c r="B21" s="1808"/>
      <c r="C21" s="1808"/>
      <c r="D21" s="1808"/>
      <c r="E21" s="1808"/>
      <c r="F21" s="1808"/>
      <c r="G21" s="717"/>
      <c r="H21" s="634"/>
      <c r="J21" s="1720" t="str">
        <f>'Thong tin'!B8</f>
        <v>Tuyên Quang, ngày 05 tháng 04 năm 2017</v>
      </c>
      <c r="K21" s="1720"/>
      <c r="L21" s="1720"/>
      <c r="M21" s="1720"/>
    </row>
    <row r="22" spans="1:13" ht="18.75" customHeight="1">
      <c r="A22" s="1765" t="s">
        <v>4</v>
      </c>
      <c r="B22" s="1765"/>
      <c r="C22" s="1765"/>
      <c r="D22" s="1765"/>
      <c r="E22" s="1765"/>
      <c r="F22" s="1765"/>
      <c r="G22" s="717"/>
      <c r="H22" s="636"/>
      <c r="I22" s="1713" t="str">
        <f>'Thong tin'!B7</f>
        <v>CỤC TRƯỞNG</v>
      </c>
      <c r="J22" s="1713"/>
      <c r="K22" s="1713"/>
      <c r="L22" s="1713"/>
      <c r="M22" s="1713"/>
    </row>
    <row r="23" spans="1:13" ht="18.75">
      <c r="A23" s="1735"/>
      <c r="B23" s="1735"/>
      <c r="C23" s="1735"/>
      <c r="D23" s="1735"/>
      <c r="E23" s="1735"/>
      <c r="F23" s="1735"/>
      <c r="G23" s="722"/>
      <c r="H23" s="717"/>
      <c r="I23" s="1736"/>
      <c r="J23" s="1736"/>
      <c r="K23" s="1736"/>
      <c r="L23" s="1736"/>
      <c r="M23" s="1736"/>
    </row>
    <row r="24" spans="1:13" ht="31.5" customHeight="1">
      <c r="A24" s="638"/>
      <c r="B24" s="638"/>
      <c r="C24" s="638"/>
      <c r="D24" s="638"/>
      <c r="E24" s="638"/>
      <c r="F24" s="638"/>
      <c r="G24" s="722"/>
      <c r="H24" s="717"/>
      <c r="I24" s="640"/>
      <c r="J24" s="640"/>
      <c r="K24" s="640"/>
      <c r="L24" s="640"/>
      <c r="M24" s="640"/>
    </row>
    <row r="25" spans="1:13" ht="18.75">
      <c r="A25" s="638"/>
      <c r="B25" s="638"/>
      <c r="C25" s="638"/>
      <c r="D25" s="638"/>
      <c r="E25" s="638"/>
      <c r="F25" s="638"/>
      <c r="G25" s="722"/>
      <c r="H25" s="717"/>
      <c r="I25" s="640"/>
      <c r="J25" s="640"/>
      <c r="K25" s="640"/>
      <c r="L25" s="640"/>
      <c r="M25" s="640"/>
    </row>
    <row r="26" spans="1:13" ht="18">
      <c r="A26" s="717"/>
      <c r="B26" s="717"/>
      <c r="C26" s="717"/>
      <c r="D26" s="717"/>
      <c r="E26" s="717"/>
      <c r="F26" s="717"/>
      <c r="G26" s="717"/>
      <c r="H26" s="717"/>
      <c r="I26" s="717"/>
      <c r="J26" s="717"/>
      <c r="K26" s="717"/>
      <c r="L26" s="717"/>
      <c r="M26" s="717"/>
    </row>
    <row r="27" spans="1:13" ht="18.75">
      <c r="A27" s="1694" t="str">
        <f>'Thong tin'!B5</f>
        <v>Duy Thị Thúy</v>
      </c>
      <c r="B27" s="1694"/>
      <c r="C27" s="1694"/>
      <c r="D27" s="1694"/>
      <c r="E27" s="1694"/>
      <c r="F27" s="1694"/>
      <c r="G27" s="717"/>
      <c r="H27" s="723"/>
      <c r="I27" s="1634" t="str">
        <f>'Thong tin'!B6</f>
        <v>Nguyễn Tuyên </v>
      </c>
      <c r="J27" s="1634"/>
      <c r="K27" s="1634"/>
      <c r="L27" s="1634"/>
      <c r="M27" s="1634"/>
    </row>
    <row r="28" spans="1:13" ht="12.75" customHeight="1">
      <c r="A28" s="717"/>
      <c r="B28" s="717"/>
      <c r="C28" s="717"/>
      <c r="D28" s="717"/>
      <c r="E28" s="717"/>
      <c r="F28" s="717"/>
      <c r="G28" s="717"/>
      <c r="H28" s="717"/>
      <c r="I28" s="723"/>
      <c r="J28" s="723"/>
      <c r="K28" s="723"/>
      <c r="L28" s="723"/>
      <c r="M28" s="723"/>
    </row>
  </sheetData>
  <sheetProtection/>
  <mergeCells count="35">
    <mergeCell ref="A4:C4"/>
    <mergeCell ref="D1:I1"/>
    <mergeCell ref="A1:C1"/>
    <mergeCell ref="A2:C2"/>
    <mergeCell ref="A3:C3"/>
    <mergeCell ref="D2:I2"/>
    <mergeCell ref="A5:B5"/>
    <mergeCell ref="J5:M5"/>
    <mergeCell ref="A6:B9"/>
    <mergeCell ref="C6:C9"/>
    <mergeCell ref="D6:G6"/>
    <mergeCell ref="H6:M6"/>
    <mergeCell ref="D7:G7"/>
    <mergeCell ref="I7:M7"/>
    <mergeCell ref="D8:D9"/>
    <mergeCell ref="K2:M2"/>
    <mergeCell ref="D4:I4"/>
    <mergeCell ref="J8:J9"/>
    <mergeCell ref="H7:H9"/>
    <mergeCell ref="M8:M9"/>
    <mergeCell ref="I8:I9"/>
    <mergeCell ref="A27:F27"/>
    <mergeCell ref="I27:M27"/>
    <mergeCell ref="A22:F22"/>
    <mergeCell ref="I22:M22"/>
    <mergeCell ref="A23:F23"/>
    <mergeCell ref="I23:M23"/>
    <mergeCell ref="J21:M21"/>
    <mergeCell ref="G8:G9"/>
    <mergeCell ref="K8:K9"/>
    <mergeCell ref="L8:L9"/>
    <mergeCell ref="A10:B10"/>
    <mergeCell ref="A11:B11"/>
    <mergeCell ref="A21:F21"/>
    <mergeCell ref="F8:F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1"/>
  <sheetViews>
    <sheetView zoomScaleSheetLayoutView="100" zoomScalePageLayoutView="0" workbookViewId="0" topLeftCell="A7">
      <selection activeCell="K25" sqref="K25"/>
    </sheetView>
  </sheetViews>
  <sheetFormatPr defaultColWidth="9.00390625" defaultRowHeight="15.75"/>
  <cols>
    <col min="1" max="1" width="2.50390625" style="610" customWidth="1"/>
    <col min="2" max="2" width="24.625" style="610" customWidth="1"/>
    <col min="3" max="3" width="6.125" style="610" customWidth="1"/>
    <col min="4" max="4" width="7.125" style="610" customWidth="1"/>
    <col min="5" max="5" width="4.75390625" style="610" customWidth="1"/>
    <col min="6" max="6" width="6.375" style="610" customWidth="1"/>
    <col min="7" max="7" width="4.50390625" style="610" customWidth="1"/>
    <col min="8" max="8" width="7.25390625" style="610" customWidth="1"/>
    <col min="9" max="9" width="4.375" style="610" customWidth="1"/>
    <col min="10" max="10" width="7.50390625" style="610" customWidth="1"/>
    <col min="11" max="11" width="4.25390625" style="610" customWidth="1"/>
    <col min="12" max="12" width="6.50390625" style="610" customWidth="1"/>
    <col min="13" max="13" width="5.375" style="610" customWidth="1"/>
    <col min="14" max="14" width="7.50390625" style="610" customWidth="1"/>
    <col min="15" max="15" width="4.375" style="610" customWidth="1"/>
    <col min="16" max="16" width="7.00390625" style="610" customWidth="1"/>
    <col min="17" max="17" width="5.75390625" style="610" customWidth="1"/>
    <col min="18" max="18" width="6.75390625" style="610" customWidth="1"/>
    <col min="19" max="19" width="4.00390625" style="610" customWidth="1"/>
    <col min="20" max="20" width="8.125" style="610" customWidth="1"/>
    <col min="21" max="16384" width="9.00390625" style="610" customWidth="1"/>
  </cols>
  <sheetData>
    <row r="1" spans="1:20" ht="18" customHeight="1">
      <c r="A1" s="1729" t="s">
        <v>311</v>
      </c>
      <c r="B1" s="1729"/>
      <c r="C1" s="1729"/>
      <c r="D1" s="1729"/>
      <c r="E1" s="1730" t="s">
        <v>664</v>
      </c>
      <c r="F1" s="1730"/>
      <c r="G1" s="1730"/>
      <c r="H1" s="1730"/>
      <c r="I1" s="1730"/>
      <c r="J1" s="1730"/>
      <c r="K1" s="1730"/>
      <c r="L1" s="1730"/>
      <c r="M1" s="1730"/>
      <c r="N1" s="1730"/>
      <c r="O1" s="1730"/>
      <c r="P1" s="611" t="s">
        <v>398</v>
      </c>
      <c r="Q1" s="720"/>
      <c r="R1" s="720"/>
      <c r="S1" s="720"/>
      <c r="T1" s="720"/>
    </row>
    <row r="2" spans="1:20" ht="20.25" customHeight="1">
      <c r="A2" s="1731" t="s">
        <v>725</v>
      </c>
      <c r="B2" s="1731"/>
      <c r="C2" s="1731"/>
      <c r="D2" s="1731"/>
      <c r="E2" s="1730"/>
      <c r="F2" s="1730"/>
      <c r="G2" s="1730"/>
      <c r="H2" s="1730"/>
      <c r="I2" s="1730"/>
      <c r="J2" s="1730"/>
      <c r="K2" s="1730"/>
      <c r="L2" s="1730"/>
      <c r="M2" s="1730"/>
      <c r="N2" s="1730"/>
      <c r="O2" s="1730"/>
      <c r="P2" s="884" t="str">
        <f>'Thong tin'!B4</f>
        <v>Cục THADS tỉnh Tuyên Quang</v>
      </c>
      <c r="Q2" s="720"/>
      <c r="R2" s="720"/>
      <c r="S2" s="720"/>
      <c r="T2" s="720"/>
    </row>
    <row r="3" spans="1:20" ht="15" customHeight="1">
      <c r="A3" s="1731" t="s">
        <v>343</v>
      </c>
      <c r="B3" s="1731"/>
      <c r="C3" s="1731"/>
      <c r="D3" s="1731"/>
      <c r="E3" s="1730"/>
      <c r="F3" s="1730"/>
      <c r="G3" s="1730"/>
      <c r="H3" s="1730"/>
      <c r="I3" s="1730"/>
      <c r="J3" s="1730"/>
      <c r="K3" s="1730"/>
      <c r="L3" s="1730"/>
      <c r="M3" s="1730"/>
      <c r="N3" s="1730"/>
      <c r="O3" s="1730"/>
      <c r="P3" s="611" t="s">
        <v>466</v>
      </c>
      <c r="Q3" s="611"/>
      <c r="R3" s="611"/>
      <c r="S3" s="724"/>
      <c r="T3" s="724"/>
    </row>
    <row r="4" spans="1:20" ht="15.75" customHeight="1">
      <c r="A4" s="1792" t="s">
        <v>362</v>
      </c>
      <c r="B4" s="1792"/>
      <c r="C4" s="1792"/>
      <c r="D4" s="1792"/>
      <c r="E4" s="1858" t="str">
        <f>'Thong tin'!B3</f>
        <v>06 tháng / năm 2017</v>
      </c>
      <c r="F4" s="1858"/>
      <c r="G4" s="1858"/>
      <c r="H4" s="1858"/>
      <c r="I4" s="1858"/>
      <c r="J4" s="1858"/>
      <c r="K4" s="1858"/>
      <c r="L4" s="1858"/>
      <c r="M4" s="1858"/>
      <c r="N4" s="1858"/>
      <c r="O4" s="1858"/>
      <c r="P4" s="720" t="s">
        <v>410</v>
      </c>
      <c r="Q4" s="611"/>
      <c r="R4" s="611"/>
      <c r="S4" s="724"/>
      <c r="T4" s="724"/>
    </row>
    <row r="5" spans="1:18" ht="24" customHeight="1">
      <c r="A5" s="725"/>
      <c r="B5" s="725"/>
      <c r="C5" s="725"/>
      <c r="F5" s="1857"/>
      <c r="G5" s="1857"/>
      <c r="H5" s="1857"/>
      <c r="I5" s="1857"/>
      <c r="J5" s="1857"/>
      <c r="K5" s="1857"/>
      <c r="L5" s="1857"/>
      <c r="M5" s="1857"/>
      <c r="N5" s="1857"/>
      <c r="O5" s="1857"/>
      <c r="P5" s="684" t="s">
        <v>442</v>
      </c>
      <c r="Q5" s="726"/>
      <c r="R5" s="726"/>
    </row>
    <row r="6" spans="1:20" s="727" customFormat="1" ht="18" customHeight="1">
      <c r="A6" s="1851" t="s">
        <v>71</v>
      </c>
      <c r="B6" s="1852"/>
      <c r="C6" s="1838" t="s">
        <v>37</v>
      </c>
      <c r="D6" s="1840"/>
      <c r="E6" s="1838" t="s">
        <v>7</v>
      </c>
      <c r="F6" s="1839"/>
      <c r="G6" s="1839"/>
      <c r="H6" s="1839"/>
      <c r="I6" s="1839"/>
      <c r="J6" s="1839"/>
      <c r="K6" s="1839"/>
      <c r="L6" s="1839"/>
      <c r="M6" s="1839"/>
      <c r="N6" s="1839"/>
      <c r="O6" s="1839"/>
      <c r="P6" s="1839"/>
      <c r="Q6" s="1839"/>
      <c r="R6" s="1839"/>
      <c r="S6" s="1839"/>
      <c r="T6" s="1840"/>
    </row>
    <row r="7" spans="1:20" s="727" customFormat="1" ht="22.5" customHeight="1">
      <c r="A7" s="1853"/>
      <c r="B7" s="1854"/>
      <c r="C7" s="1825" t="s">
        <v>443</v>
      </c>
      <c r="D7" s="1825" t="s">
        <v>444</v>
      </c>
      <c r="E7" s="1838" t="s">
        <v>312</v>
      </c>
      <c r="F7" s="1855"/>
      <c r="G7" s="1855"/>
      <c r="H7" s="1855"/>
      <c r="I7" s="1855"/>
      <c r="J7" s="1855"/>
      <c r="K7" s="1855"/>
      <c r="L7" s="1856"/>
      <c r="M7" s="1838" t="s">
        <v>445</v>
      </c>
      <c r="N7" s="1839"/>
      <c r="O7" s="1839"/>
      <c r="P7" s="1839"/>
      <c r="Q7" s="1839"/>
      <c r="R7" s="1839"/>
      <c r="S7" s="1839"/>
      <c r="T7" s="1840"/>
    </row>
    <row r="8" spans="1:20" s="727" customFormat="1" ht="42.75" customHeight="1">
      <c r="A8" s="1853"/>
      <c r="B8" s="1854"/>
      <c r="C8" s="1833"/>
      <c r="D8" s="1833"/>
      <c r="E8" s="1816" t="s">
        <v>446</v>
      </c>
      <c r="F8" s="1816"/>
      <c r="G8" s="1838" t="s">
        <v>447</v>
      </c>
      <c r="H8" s="1839"/>
      <c r="I8" s="1839"/>
      <c r="J8" s="1839"/>
      <c r="K8" s="1839"/>
      <c r="L8" s="1840"/>
      <c r="M8" s="1816" t="s">
        <v>448</v>
      </c>
      <c r="N8" s="1816"/>
      <c r="O8" s="1838" t="s">
        <v>447</v>
      </c>
      <c r="P8" s="1839"/>
      <c r="Q8" s="1839"/>
      <c r="R8" s="1839"/>
      <c r="S8" s="1839"/>
      <c r="T8" s="1840"/>
    </row>
    <row r="9" spans="1:20" s="727" customFormat="1" ht="35.25" customHeight="1">
      <c r="A9" s="1853"/>
      <c r="B9" s="1854"/>
      <c r="C9" s="1833"/>
      <c r="D9" s="1833"/>
      <c r="E9" s="1825" t="s">
        <v>313</v>
      </c>
      <c r="F9" s="1825" t="s">
        <v>314</v>
      </c>
      <c r="G9" s="1845" t="s">
        <v>315</v>
      </c>
      <c r="H9" s="1846"/>
      <c r="I9" s="1845" t="s">
        <v>316</v>
      </c>
      <c r="J9" s="1846"/>
      <c r="K9" s="1845" t="s">
        <v>317</v>
      </c>
      <c r="L9" s="1846"/>
      <c r="M9" s="1825" t="s">
        <v>318</v>
      </c>
      <c r="N9" s="1825" t="s">
        <v>314</v>
      </c>
      <c r="O9" s="1845" t="s">
        <v>315</v>
      </c>
      <c r="P9" s="1846"/>
      <c r="Q9" s="1845" t="s">
        <v>319</v>
      </c>
      <c r="R9" s="1846"/>
      <c r="S9" s="1845" t="s">
        <v>320</v>
      </c>
      <c r="T9" s="1846"/>
    </row>
    <row r="10" spans="1:20" s="727" customFormat="1" ht="25.5" customHeight="1">
      <c r="A10" s="1845"/>
      <c r="B10" s="1846"/>
      <c r="C10" s="1826"/>
      <c r="D10" s="1826"/>
      <c r="E10" s="1826"/>
      <c r="F10" s="1826"/>
      <c r="G10" s="689" t="s">
        <v>318</v>
      </c>
      <c r="H10" s="689" t="s">
        <v>314</v>
      </c>
      <c r="I10" s="692" t="s">
        <v>318</v>
      </c>
      <c r="J10" s="689" t="s">
        <v>314</v>
      </c>
      <c r="K10" s="692" t="s">
        <v>318</v>
      </c>
      <c r="L10" s="689" t="s">
        <v>314</v>
      </c>
      <c r="M10" s="1826"/>
      <c r="N10" s="1826"/>
      <c r="O10" s="689" t="s">
        <v>318</v>
      </c>
      <c r="P10" s="689" t="s">
        <v>314</v>
      </c>
      <c r="Q10" s="692" t="s">
        <v>318</v>
      </c>
      <c r="R10" s="689" t="s">
        <v>314</v>
      </c>
      <c r="S10" s="692" t="s">
        <v>318</v>
      </c>
      <c r="T10" s="689" t="s">
        <v>314</v>
      </c>
    </row>
    <row r="11" spans="1:20" s="694" customFormat="1" ht="12.75">
      <c r="A11" s="1847" t="s">
        <v>6</v>
      </c>
      <c r="B11" s="1848"/>
      <c r="C11" s="728">
        <v>1</v>
      </c>
      <c r="D11" s="693">
        <v>2</v>
      </c>
      <c r="E11" s="728">
        <v>3</v>
      </c>
      <c r="F11" s="693">
        <v>4</v>
      </c>
      <c r="G11" s="728">
        <v>5</v>
      </c>
      <c r="H11" s="693">
        <v>6</v>
      </c>
      <c r="I11" s="728">
        <v>7</v>
      </c>
      <c r="J11" s="693">
        <v>8</v>
      </c>
      <c r="K11" s="728">
        <v>9</v>
      </c>
      <c r="L11" s="693">
        <v>10</v>
      </c>
      <c r="M11" s="728">
        <v>11</v>
      </c>
      <c r="N11" s="693">
        <v>12</v>
      </c>
      <c r="O11" s="728">
        <v>13</v>
      </c>
      <c r="P11" s="693">
        <v>14</v>
      </c>
      <c r="Q11" s="728">
        <v>15</v>
      </c>
      <c r="R11" s="693">
        <v>16</v>
      </c>
      <c r="S11" s="728">
        <v>17</v>
      </c>
      <c r="T11" s="693">
        <v>18</v>
      </c>
    </row>
    <row r="12" spans="1:20" s="626" customFormat="1" ht="15.75" customHeight="1">
      <c r="A12" s="1849" t="s">
        <v>36</v>
      </c>
      <c r="B12" s="1850"/>
      <c r="C12" s="854">
        <f>SUM(C13:C14)</f>
        <v>0</v>
      </c>
      <c r="D12" s="854">
        <f aca="true" t="shared" si="0" ref="D12:T12">SUM(D13:D14)</f>
        <v>0</v>
      </c>
      <c r="E12" s="854">
        <f t="shared" si="0"/>
        <v>0</v>
      </c>
      <c r="F12" s="854">
        <f t="shared" si="0"/>
        <v>0</v>
      </c>
      <c r="G12" s="854">
        <f t="shared" si="0"/>
        <v>0</v>
      </c>
      <c r="H12" s="854">
        <f t="shared" si="0"/>
        <v>0</v>
      </c>
      <c r="I12" s="854">
        <f t="shared" si="0"/>
        <v>0</v>
      </c>
      <c r="J12" s="854">
        <f t="shared" si="0"/>
        <v>0</v>
      </c>
      <c r="K12" s="854">
        <f t="shared" si="0"/>
        <v>0</v>
      </c>
      <c r="L12" s="854">
        <f t="shared" si="0"/>
        <v>0</v>
      </c>
      <c r="M12" s="854">
        <f t="shared" si="0"/>
        <v>0</v>
      </c>
      <c r="N12" s="854">
        <f t="shared" si="0"/>
        <v>0</v>
      </c>
      <c r="O12" s="854">
        <f t="shared" si="0"/>
        <v>0</v>
      </c>
      <c r="P12" s="854">
        <f t="shared" si="0"/>
        <v>0</v>
      </c>
      <c r="Q12" s="854">
        <f t="shared" si="0"/>
        <v>0</v>
      </c>
      <c r="R12" s="854">
        <f t="shared" si="0"/>
        <v>0</v>
      </c>
      <c r="S12" s="854">
        <f t="shared" si="0"/>
        <v>0</v>
      </c>
      <c r="T12" s="854">
        <f t="shared" si="0"/>
        <v>0</v>
      </c>
    </row>
    <row r="13" spans="1:20" s="626" customFormat="1" ht="21" customHeight="1">
      <c r="A13" s="667" t="s">
        <v>0</v>
      </c>
      <c r="B13" s="668" t="s">
        <v>226</v>
      </c>
      <c r="C13" s="855">
        <f>SUM(E13+M13)</f>
        <v>0</v>
      </c>
      <c r="D13" s="836">
        <f>SUM(F13+N13)</f>
        <v>0</v>
      </c>
      <c r="E13" s="836"/>
      <c r="F13" s="836"/>
      <c r="G13" s="836"/>
      <c r="H13" s="836"/>
      <c r="I13" s="836"/>
      <c r="J13" s="836"/>
      <c r="K13" s="836"/>
      <c r="L13" s="836"/>
      <c r="M13" s="836"/>
      <c r="N13" s="836"/>
      <c r="O13" s="836"/>
      <c r="P13" s="836"/>
      <c r="Q13" s="836"/>
      <c r="R13" s="836"/>
      <c r="S13" s="836"/>
      <c r="T13" s="836"/>
    </row>
    <row r="14" spans="1:20" s="626" customFormat="1" ht="21" customHeight="1">
      <c r="A14" s="670" t="s">
        <v>1</v>
      </c>
      <c r="B14" s="668" t="s">
        <v>18</v>
      </c>
      <c r="C14" s="855">
        <f>SUM(C15:C21)</f>
        <v>0</v>
      </c>
      <c r="D14" s="855">
        <f aca="true" t="shared" si="1" ref="D14:T14">SUM(D15:D21)</f>
        <v>0</v>
      </c>
      <c r="E14" s="855">
        <f t="shared" si="1"/>
        <v>0</v>
      </c>
      <c r="F14" s="855">
        <f t="shared" si="1"/>
        <v>0</v>
      </c>
      <c r="G14" s="855">
        <f t="shared" si="1"/>
        <v>0</v>
      </c>
      <c r="H14" s="855">
        <f t="shared" si="1"/>
        <v>0</v>
      </c>
      <c r="I14" s="855">
        <f t="shared" si="1"/>
        <v>0</v>
      </c>
      <c r="J14" s="855">
        <f t="shared" si="1"/>
        <v>0</v>
      </c>
      <c r="K14" s="855">
        <f t="shared" si="1"/>
        <v>0</v>
      </c>
      <c r="L14" s="855">
        <f t="shared" si="1"/>
        <v>0</v>
      </c>
      <c r="M14" s="855">
        <f t="shared" si="1"/>
        <v>0</v>
      </c>
      <c r="N14" s="855">
        <f t="shared" si="1"/>
        <v>0</v>
      </c>
      <c r="O14" s="855">
        <f t="shared" si="1"/>
        <v>0</v>
      </c>
      <c r="P14" s="855">
        <f t="shared" si="1"/>
        <v>0</v>
      </c>
      <c r="Q14" s="855">
        <f t="shared" si="1"/>
        <v>0</v>
      </c>
      <c r="R14" s="855">
        <f t="shared" si="1"/>
        <v>0</v>
      </c>
      <c r="S14" s="855">
        <f t="shared" si="1"/>
        <v>0</v>
      </c>
      <c r="T14" s="855">
        <f t="shared" si="1"/>
        <v>0</v>
      </c>
    </row>
    <row r="15" spans="1:20" s="626" customFormat="1" ht="21" customHeight="1">
      <c r="A15" s="671">
        <v>1</v>
      </c>
      <c r="B15" s="837" t="s">
        <v>714</v>
      </c>
      <c r="C15" s="855">
        <f aca="true" t="shared" si="2" ref="C15:D21">SUM(E15+M15)</f>
        <v>0</v>
      </c>
      <c r="D15" s="836">
        <f t="shared" si="2"/>
        <v>0</v>
      </c>
      <c r="E15" s="836"/>
      <c r="F15" s="836"/>
      <c r="G15" s="836"/>
      <c r="H15" s="836"/>
      <c r="I15" s="836"/>
      <c r="J15" s="836"/>
      <c r="K15" s="836"/>
      <c r="L15" s="836"/>
      <c r="M15" s="836"/>
      <c r="N15" s="836"/>
      <c r="O15" s="836"/>
      <c r="P15" s="836"/>
      <c r="Q15" s="836"/>
      <c r="R15" s="836"/>
      <c r="S15" s="836"/>
      <c r="T15" s="836"/>
    </row>
    <row r="16" spans="1:20" s="626" customFormat="1" ht="21" customHeight="1">
      <c r="A16" s="671">
        <v>2</v>
      </c>
      <c r="B16" s="837" t="s">
        <v>715</v>
      </c>
      <c r="C16" s="855">
        <f t="shared" si="2"/>
        <v>0</v>
      </c>
      <c r="D16" s="836">
        <f t="shared" si="2"/>
        <v>0</v>
      </c>
      <c r="E16" s="836"/>
      <c r="F16" s="836"/>
      <c r="G16" s="836"/>
      <c r="H16" s="836"/>
      <c r="I16" s="836"/>
      <c r="J16" s="836"/>
      <c r="K16" s="836"/>
      <c r="L16" s="836"/>
      <c r="M16" s="836"/>
      <c r="N16" s="836"/>
      <c r="O16" s="836"/>
      <c r="P16" s="836"/>
      <c r="Q16" s="836"/>
      <c r="R16" s="836"/>
      <c r="S16" s="836"/>
      <c r="T16" s="836"/>
    </row>
    <row r="17" spans="1:20" s="626" customFormat="1" ht="21" customHeight="1">
      <c r="A17" s="671">
        <v>3</v>
      </c>
      <c r="B17" s="837" t="s">
        <v>716</v>
      </c>
      <c r="C17" s="851">
        <f t="shared" si="2"/>
        <v>0</v>
      </c>
      <c r="D17" s="851">
        <f t="shared" si="2"/>
        <v>0</v>
      </c>
      <c r="E17" s="851"/>
      <c r="F17" s="851"/>
      <c r="G17" s="851"/>
      <c r="H17" s="851"/>
      <c r="I17" s="851"/>
      <c r="J17" s="851"/>
      <c r="K17" s="851"/>
      <c r="L17" s="851"/>
      <c r="M17" s="851"/>
      <c r="N17" s="851"/>
      <c r="O17" s="851"/>
      <c r="P17" s="851"/>
      <c r="Q17" s="851"/>
      <c r="R17" s="851"/>
      <c r="S17" s="851"/>
      <c r="T17" s="851"/>
    </row>
    <row r="18" spans="1:20" s="626" customFormat="1" ht="21" customHeight="1">
      <c r="A18" s="671">
        <v>4</v>
      </c>
      <c r="B18" s="837" t="s">
        <v>717</v>
      </c>
      <c r="C18" s="851">
        <f t="shared" si="2"/>
        <v>0</v>
      </c>
      <c r="D18" s="851">
        <f t="shared" si="2"/>
        <v>0</v>
      </c>
      <c r="E18" s="851"/>
      <c r="F18" s="851"/>
      <c r="G18" s="851"/>
      <c r="H18" s="851"/>
      <c r="I18" s="851"/>
      <c r="J18" s="851"/>
      <c r="K18" s="851"/>
      <c r="L18" s="851"/>
      <c r="M18" s="851"/>
      <c r="N18" s="851"/>
      <c r="O18" s="851"/>
      <c r="P18" s="851"/>
      <c r="Q18" s="851"/>
      <c r="R18" s="851"/>
      <c r="S18" s="851"/>
      <c r="T18" s="851"/>
    </row>
    <row r="19" spans="1:20" s="626" customFormat="1" ht="21" customHeight="1">
      <c r="A19" s="671">
        <v>5</v>
      </c>
      <c r="B19" s="837" t="s">
        <v>718</v>
      </c>
      <c r="C19" s="851">
        <f t="shared" si="2"/>
        <v>0</v>
      </c>
      <c r="D19" s="851">
        <f t="shared" si="2"/>
        <v>0</v>
      </c>
      <c r="E19" s="851"/>
      <c r="F19" s="851"/>
      <c r="G19" s="851"/>
      <c r="H19" s="851"/>
      <c r="I19" s="851"/>
      <c r="J19" s="851"/>
      <c r="K19" s="851"/>
      <c r="L19" s="851"/>
      <c r="M19" s="851"/>
      <c r="N19" s="851"/>
      <c r="O19" s="851"/>
      <c r="P19" s="851"/>
      <c r="Q19" s="851"/>
      <c r="R19" s="851"/>
      <c r="S19" s="851"/>
      <c r="T19" s="851"/>
    </row>
    <row r="20" spans="1:20" s="626" customFormat="1" ht="21" customHeight="1">
      <c r="A20" s="671">
        <v>6</v>
      </c>
      <c r="B20" s="837" t="s">
        <v>719</v>
      </c>
      <c r="C20" s="851">
        <f t="shared" si="2"/>
        <v>0</v>
      </c>
      <c r="D20" s="851">
        <f t="shared" si="2"/>
        <v>0</v>
      </c>
      <c r="E20" s="851"/>
      <c r="F20" s="851"/>
      <c r="G20" s="851"/>
      <c r="H20" s="851"/>
      <c r="I20" s="851"/>
      <c r="J20" s="851"/>
      <c r="K20" s="851"/>
      <c r="L20" s="851"/>
      <c r="M20" s="851"/>
      <c r="N20" s="851"/>
      <c r="O20" s="851"/>
      <c r="P20" s="851"/>
      <c r="Q20" s="851"/>
      <c r="R20" s="851"/>
      <c r="S20" s="851"/>
      <c r="T20" s="851"/>
    </row>
    <row r="21" spans="1:20" s="626" customFormat="1" ht="21" customHeight="1">
      <c r="A21" s="671">
        <v>7</v>
      </c>
      <c r="B21" s="837" t="s">
        <v>720</v>
      </c>
      <c r="C21" s="851">
        <f t="shared" si="2"/>
        <v>0</v>
      </c>
      <c r="D21" s="851">
        <f t="shared" si="2"/>
        <v>0</v>
      </c>
      <c r="E21" s="851"/>
      <c r="F21" s="851"/>
      <c r="G21" s="851"/>
      <c r="H21" s="851"/>
      <c r="I21" s="851"/>
      <c r="J21" s="851"/>
      <c r="K21" s="851"/>
      <c r="L21" s="851"/>
      <c r="M21" s="851"/>
      <c r="N21" s="851"/>
      <c r="O21" s="851"/>
      <c r="P21" s="851"/>
      <c r="Q21" s="851"/>
      <c r="R21" s="851"/>
      <c r="S21" s="851"/>
      <c r="T21" s="851"/>
    </row>
    <row r="22" spans="1:20" ht="17.25" customHeight="1">
      <c r="A22" s="633"/>
      <c r="B22" s="1721"/>
      <c r="C22" s="1721"/>
      <c r="D22" s="1721"/>
      <c r="E22" s="1721"/>
      <c r="F22" s="1721"/>
      <c r="G22" s="1721"/>
      <c r="H22" s="705"/>
      <c r="I22" s="705"/>
      <c r="J22" s="768"/>
      <c r="K22" s="705"/>
      <c r="L22" s="1794" t="str">
        <f>'Thong tin'!B8</f>
        <v>Tuyên Quang, ngày 05 tháng 04 năm 2017</v>
      </c>
      <c r="M22" s="1794"/>
      <c r="N22" s="1794"/>
      <c r="O22" s="1794"/>
      <c r="P22" s="1794"/>
      <c r="Q22" s="1794"/>
      <c r="R22" s="1794"/>
      <c r="S22" s="1794"/>
      <c r="T22" s="1794"/>
    </row>
    <row r="23" spans="1:20" ht="17.25" customHeight="1">
      <c r="A23" s="633"/>
      <c r="B23" s="1722" t="s">
        <v>42</v>
      </c>
      <c r="C23" s="1722"/>
      <c r="D23" s="1722"/>
      <c r="E23" s="1722"/>
      <c r="F23" s="1722"/>
      <c r="G23" s="1722"/>
      <c r="H23" s="676"/>
      <c r="I23" s="676"/>
      <c r="J23" s="676"/>
      <c r="K23" s="676"/>
      <c r="L23" s="1713" t="str">
        <f>'Thong tin'!B7</f>
        <v>CỤC TRƯỞNG</v>
      </c>
      <c r="M23" s="1713"/>
      <c r="N23" s="1713"/>
      <c r="O23" s="1713"/>
      <c r="P23" s="1713"/>
      <c r="Q23" s="1713"/>
      <c r="R23" s="1713"/>
      <c r="S23" s="1713"/>
      <c r="T23" s="1713"/>
    </row>
    <row r="24" spans="1:20" s="730" customFormat="1" ht="18.75">
      <c r="A24" s="729"/>
      <c r="B24" s="1712"/>
      <c r="C24" s="1712"/>
      <c r="D24" s="1712"/>
      <c r="E24" s="1712"/>
      <c r="F24" s="1712"/>
      <c r="G24" s="790"/>
      <c r="H24" s="790"/>
      <c r="I24" s="790"/>
      <c r="J24" s="790"/>
      <c r="K24" s="790"/>
      <c r="L24" s="1713"/>
      <c r="M24" s="1713"/>
      <c r="N24" s="1713"/>
      <c r="O24" s="1713"/>
      <c r="P24" s="1713"/>
      <c r="Q24" s="1713"/>
      <c r="R24" s="1713"/>
      <c r="S24" s="1713"/>
      <c r="T24" s="1713"/>
    </row>
    <row r="25" spans="1:20" s="730" customFormat="1" ht="18.75">
      <c r="A25" s="729"/>
      <c r="B25" s="769"/>
      <c r="C25" s="769"/>
      <c r="D25" s="769"/>
      <c r="E25" s="769"/>
      <c r="F25" s="769"/>
      <c r="G25" s="790"/>
      <c r="H25" s="790"/>
      <c r="I25" s="790"/>
      <c r="J25" s="790"/>
      <c r="K25" s="790"/>
      <c r="L25" s="679"/>
      <c r="M25" s="679"/>
      <c r="N25" s="679"/>
      <c r="O25" s="679"/>
      <c r="P25" s="679"/>
      <c r="Q25" s="679"/>
      <c r="R25" s="679"/>
      <c r="S25" s="679"/>
      <c r="T25" s="679"/>
    </row>
    <row r="26" spans="1:20" s="730" customFormat="1" ht="18.75">
      <c r="A26" s="729"/>
      <c r="B26" s="769"/>
      <c r="C26" s="769"/>
      <c r="D26" s="769"/>
      <c r="E26" s="769"/>
      <c r="F26" s="769"/>
      <c r="G26" s="790"/>
      <c r="H26" s="790"/>
      <c r="I26" s="790"/>
      <c r="J26" s="790"/>
      <c r="K26" s="790"/>
      <c r="L26" s="679"/>
      <c r="M26" s="679"/>
      <c r="N26" s="679"/>
      <c r="O26" s="679"/>
      <c r="P26" s="679"/>
      <c r="Q26" s="679"/>
      <c r="R26" s="679"/>
      <c r="S26" s="679"/>
      <c r="T26" s="679"/>
    </row>
    <row r="27" spans="1:20" s="730" customFormat="1" ht="18.75">
      <c r="A27" s="729"/>
      <c r="B27" s="790"/>
      <c r="C27" s="790"/>
      <c r="D27" s="790"/>
      <c r="E27" s="790"/>
      <c r="F27" s="790"/>
      <c r="G27" s="790"/>
      <c r="H27" s="790"/>
      <c r="I27" s="790"/>
      <c r="J27" s="790"/>
      <c r="K27" s="790"/>
      <c r="L27" s="790"/>
      <c r="M27" s="790"/>
      <c r="N27" s="790"/>
      <c r="O27" s="790"/>
      <c r="P27" s="790"/>
      <c r="Q27" s="790"/>
      <c r="R27" s="790"/>
      <c r="S27" s="790"/>
      <c r="T27" s="790"/>
    </row>
    <row r="28" spans="2:20" ht="18">
      <c r="B28" s="768"/>
      <c r="C28" s="768"/>
      <c r="D28" s="768"/>
      <c r="E28" s="768"/>
      <c r="F28" s="768"/>
      <c r="G28" s="768"/>
      <c r="H28" s="768"/>
      <c r="I28" s="768"/>
      <c r="J28" s="768"/>
      <c r="K28" s="768"/>
      <c r="L28" s="768"/>
      <c r="M28" s="768"/>
      <c r="N28" s="768"/>
      <c r="O28" s="768"/>
      <c r="P28" s="768"/>
      <c r="Q28" s="768"/>
      <c r="R28" s="768"/>
      <c r="S28" s="768"/>
      <c r="T28" s="768"/>
    </row>
    <row r="29" spans="2:20" ht="18.75">
      <c r="B29" s="1634" t="str">
        <f>'Thong tin'!B5</f>
        <v>Duy Thị Thúy</v>
      </c>
      <c r="C29" s="1634"/>
      <c r="D29" s="1634"/>
      <c r="E29" s="1634"/>
      <c r="F29" s="1634"/>
      <c r="G29" s="1634"/>
      <c r="H29" s="768"/>
      <c r="I29" s="768"/>
      <c r="J29" s="768"/>
      <c r="K29" s="768"/>
      <c r="L29" s="1634" t="str">
        <f>'Thong tin'!B6</f>
        <v>Nguyễn Tuyên </v>
      </c>
      <c r="M29" s="1634"/>
      <c r="N29" s="1634"/>
      <c r="O29" s="1634"/>
      <c r="P29" s="1634"/>
      <c r="Q29" s="1634"/>
      <c r="R29" s="1634"/>
      <c r="S29" s="1634"/>
      <c r="T29" s="1634"/>
    </row>
    <row r="30" spans="2:20" ht="18.75">
      <c r="B30" s="635"/>
      <c r="C30" s="635"/>
      <c r="D30" s="635"/>
      <c r="E30" s="635"/>
      <c r="F30" s="635"/>
      <c r="G30" s="635"/>
      <c r="H30" s="723"/>
      <c r="I30" s="635"/>
      <c r="J30" s="635"/>
      <c r="K30" s="635"/>
      <c r="L30" s="635"/>
      <c r="M30" s="635"/>
      <c r="N30" s="635"/>
      <c r="O30" s="635"/>
      <c r="P30" s="635"/>
      <c r="Q30" s="635"/>
      <c r="R30" s="635"/>
      <c r="S30" s="635"/>
      <c r="T30" s="635"/>
    </row>
    <row r="31" spans="2:20" ht="18">
      <c r="B31" s="635"/>
      <c r="C31" s="635"/>
      <c r="D31" s="635"/>
      <c r="E31" s="635"/>
      <c r="F31" s="635"/>
      <c r="G31" s="635"/>
      <c r="H31" s="635"/>
      <c r="I31" s="635"/>
      <c r="J31" s="635"/>
      <c r="K31" s="635"/>
      <c r="L31" s="635"/>
      <c r="M31" s="635"/>
      <c r="N31" s="635"/>
      <c r="O31" s="635"/>
      <c r="P31" s="635"/>
      <c r="Q31" s="635"/>
      <c r="R31" s="635"/>
      <c r="S31" s="635"/>
      <c r="T31" s="635"/>
    </row>
  </sheetData>
  <sheetProtection/>
  <mergeCells count="38">
    <mergeCell ref="A1:D1"/>
    <mergeCell ref="A2:D2"/>
    <mergeCell ref="A3:D3"/>
    <mergeCell ref="A4:D4"/>
    <mergeCell ref="E1:O3"/>
    <mergeCell ref="E4:O4"/>
    <mergeCell ref="G8:L8"/>
    <mergeCell ref="E7:L7"/>
    <mergeCell ref="O8:T8"/>
    <mergeCell ref="M7:T7"/>
    <mergeCell ref="E8:F8"/>
    <mergeCell ref="F5:O5"/>
    <mergeCell ref="K9:L9"/>
    <mergeCell ref="M9:M10"/>
    <mergeCell ref="N9:N10"/>
    <mergeCell ref="S9:T9"/>
    <mergeCell ref="O9:P9"/>
    <mergeCell ref="A6:B10"/>
    <mergeCell ref="C6:D6"/>
    <mergeCell ref="E6:T6"/>
    <mergeCell ref="G9:H9"/>
    <mergeCell ref="M8:N8"/>
    <mergeCell ref="B22:G22"/>
    <mergeCell ref="L22:T22"/>
    <mergeCell ref="C7:C10"/>
    <mergeCell ref="D7:D10"/>
    <mergeCell ref="Q9:R9"/>
    <mergeCell ref="I9:J9"/>
    <mergeCell ref="A11:B11"/>
    <mergeCell ref="A12:B12"/>
    <mergeCell ref="E9:E10"/>
    <mergeCell ref="F9:F10"/>
    <mergeCell ref="B29:G29"/>
    <mergeCell ref="L29:T29"/>
    <mergeCell ref="B23:G23"/>
    <mergeCell ref="L23:T23"/>
    <mergeCell ref="B24:F24"/>
    <mergeCell ref="L24:T2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6"/>
  <sheetViews>
    <sheetView zoomScaleSheetLayoutView="100" zoomScalePageLayoutView="0" workbookViewId="0" topLeftCell="A1">
      <selection activeCell="E26" sqref="E26"/>
    </sheetView>
  </sheetViews>
  <sheetFormatPr defaultColWidth="9.00390625" defaultRowHeight="15.75"/>
  <cols>
    <col min="1" max="1" width="3.75390625" style="742" customWidth="1"/>
    <col min="2" max="2" width="25.25390625" style="732" customWidth="1"/>
    <col min="3" max="3" width="9.25390625" style="732" customWidth="1"/>
    <col min="4" max="4" width="11.00390625" style="732" customWidth="1"/>
    <col min="5" max="5" width="8.375" style="732" customWidth="1"/>
    <col min="6" max="6" width="10.75390625" style="732" customWidth="1"/>
    <col min="7" max="7" width="8.25390625" style="732" customWidth="1"/>
    <col min="8" max="8" width="9.875" style="732" customWidth="1"/>
    <col min="9" max="9" width="9.00390625" style="732" customWidth="1"/>
    <col min="10" max="10" width="12.25390625" style="732" customWidth="1"/>
    <col min="11" max="11" width="9.25390625" style="732" customWidth="1"/>
    <col min="12" max="12" width="13.625" style="732" customWidth="1"/>
    <col min="13" max="16384" width="9.00390625" style="732" customWidth="1"/>
  </cols>
  <sheetData>
    <row r="1" spans="1:12" ht="20.25" customHeight="1">
      <c r="A1" s="1758" t="s">
        <v>322</v>
      </c>
      <c r="B1" s="1758"/>
      <c r="C1" s="1758"/>
      <c r="D1" s="1805" t="s">
        <v>449</v>
      </c>
      <c r="E1" s="1805"/>
      <c r="F1" s="1805"/>
      <c r="G1" s="1805"/>
      <c r="H1" s="1805"/>
      <c r="I1" s="1805"/>
      <c r="J1" s="651" t="s">
        <v>450</v>
      </c>
      <c r="K1" s="731"/>
      <c r="L1" s="731"/>
    </row>
    <row r="2" spans="1:12" ht="18.75" customHeight="1">
      <c r="A2" s="1754" t="s">
        <v>725</v>
      </c>
      <c r="B2" s="1754"/>
      <c r="C2" s="1754"/>
      <c r="D2" s="1864" t="s">
        <v>323</v>
      </c>
      <c r="E2" s="1864"/>
      <c r="F2" s="1864"/>
      <c r="G2" s="1864"/>
      <c r="H2" s="1864"/>
      <c r="I2" s="1864"/>
      <c r="J2" s="1867" t="str">
        <f>'Thong tin'!B4</f>
        <v>Cục THADS tỉnh Tuyên Quang</v>
      </c>
      <c r="K2" s="1867"/>
      <c r="L2" s="1867"/>
    </row>
    <row r="3" spans="1:12" ht="17.25">
      <c r="A3" s="1754" t="s">
        <v>343</v>
      </c>
      <c r="B3" s="1754"/>
      <c r="C3" s="1754"/>
      <c r="D3" s="1732" t="str">
        <f>'Thong tin'!B3</f>
        <v>06 tháng / năm 2017</v>
      </c>
      <c r="E3" s="1733"/>
      <c r="F3" s="1733"/>
      <c r="G3" s="1733"/>
      <c r="H3" s="1733"/>
      <c r="I3" s="1733"/>
      <c r="J3" s="654" t="s">
        <v>468</v>
      </c>
      <c r="K3" s="654"/>
      <c r="L3" s="654"/>
    </row>
    <row r="4" spans="1:12" ht="15.75">
      <c r="A4" s="1865" t="s">
        <v>453</v>
      </c>
      <c r="B4" s="1865"/>
      <c r="C4" s="1865"/>
      <c r="D4" s="1866"/>
      <c r="E4" s="1866"/>
      <c r="F4" s="1866"/>
      <c r="G4" s="1866"/>
      <c r="H4" s="1866"/>
      <c r="I4" s="1866"/>
      <c r="J4" s="1760" t="s">
        <v>410</v>
      </c>
      <c r="K4" s="1760"/>
      <c r="L4" s="1760"/>
    </row>
    <row r="5" spans="1:12" ht="15.75">
      <c r="A5" s="733"/>
      <c r="B5" s="733"/>
      <c r="C5" s="734"/>
      <c r="D5" s="734"/>
      <c r="E5" s="653"/>
      <c r="J5" s="735" t="s">
        <v>454</v>
      </c>
      <c r="K5" s="702"/>
      <c r="L5" s="702"/>
    </row>
    <row r="6" spans="1:12" ht="24.75" customHeight="1">
      <c r="A6" s="1868" t="s">
        <v>71</v>
      </c>
      <c r="B6" s="1869"/>
      <c r="C6" s="1859" t="s">
        <v>455</v>
      </c>
      <c r="D6" s="1859"/>
      <c r="E6" s="1859"/>
      <c r="F6" s="1859"/>
      <c r="G6" s="1859"/>
      <c r="H6" s="1859"/>
      <c r="I6" s="1859" t="s">
        <v>324</v>
      </c>
      <c r="J6" s="1859"/>
      <c r="K6" s="1859"/>
      <c r="L6" s="1859"/>
    </row>
    <row r="7" spans="1:12" ht="17.25" customHeight="1">
      <c r="A7" s="1870"/>
      <c r="B7" s="1871"/>
      <c r="C7" s="1859" t="s">
        <v>37</v>
      </c>
      <c r="D7" s="1859"/>
      <c r="E7" s="1859" t="s">
        <v>7</v>
      </c>
      <c r="F7" s="1859"/>
      <c r="G7" s="1859"/>
      <c r="H7" s="1859"/>
      <c r="I7" s="1859" t="s">
        <v>325</v>
      </c>
      <c r="J7" s="1859"/>
      <c r="K7" s="1859" t="s">
        <v>326</v>
      </c>
      <c r="L7" s="1859"/>
    </row>
    <row r="8" spans="1:12" ht="31.5" customHeight="1">
      <c r="A8" s="1870"/>
      <c r="B8" s="1871"/>
      <c r="C8" s="1859"/>
      <c r="D8" s="1859"/>
      <c r="E8" s="1859" t="s">
        <v>327</v>
      </c>
      <c r="F8" s="1859"/>
      <c r="G8" s="1859" t="s">
        <v>328</v>
      </c>
      <c r="H8" s="1859"/>
      <c r="I8" s="1859"/>
      <c r="J8" s="1859"/>
      <c r="K8" s="1859"/>
      <c r="L8" s="1859"/>
    </row>
    <row r="9" spans="1:12" ht="24.75" customHeight="1">
      <c r="A9" s="1872"/>
      <c r="B9" s="1873"/>
      <c r="C9" s="736" t="s">
        <v>329</v>
      </c>
      <c r="D9" s="736" t="s">
        <v>10</v>
      </c>
      <c r="E9" s="736" t="s">
        <v>3</v>
      </c>
      <c r="F9" s="736" t="s">
        <v>330</v>
      </c>
      <c r="G9" s="736" t="s">
        <v>3</v>
      </c>
      <c r="H9" s="736" t="s">
        <v>330</v>
      </c>
      <c r="I9" s="736" t="s">
        <v>3</v>
      </c>
      <c r="J9" s="736" t="s">
        <v>330</v>
      </c>
      <c r="K9" s="736" t="s">
        <v>3</v>
      </c>
      <c r="L9" s="736" t="s">
        <v>330</v>
      </c>
    </row>
    <row r="10" spans="1:12" s="738" customFormat="1" ht="15.75">
      <c r="A10" s="1862" t="s">
        <v>6</v>
      </c>
      <c r="B10" s="1863"/>
      <c r="C10" s="737">
        <v>1</v>
      </c>
      <c r="D10" s="737">
        <v>2</v>
      </c>
      <c r="E10" s="737">
        <v>3</v>
      </c>
      <c r="F10" s="737">
        <v>4</v>
      </c>
      <c r="G10" s="737">
        <v>5</v>
      </c>
      <c r="H10" s="737">
        <v>6</v>
      </c>
      <c r="I10" s="737">
        <v>7</v>
      </c>
      <c r="J10" s="737">
        <v>8</v>
      </c>
      <c r="K10" s="737">
        <v>9</v>
      </c>
      <c r="L10" s="737">
        <v>10</v>
      </c>
    </row>
    <row r="11" spans="1:12" s="738" customFormat="1" ht="23.25" customHeight="1">
      <c r="A11" s="1860" t="s">
        <v>36</v>
      </c>
      <c r="B11" s="1861"/>
      <c r="C11" s="835">
        <f>C12+C13</f>
        <v>0</v>
      </c>
      <c r="D11" s="835">
        <f aca="true" t="shared" si="0" ref="D11:L11">D12+D13</f>
        <v>0</v>
      </c>
      <c r="E11" s="835">
        <f t="shared" si="0"/>
        <v>0</v>
      </c>
      <c r="F11" s="835">
        <f t="shared" si="0"/>
        <v>0</v>
      </c>
      <c r="G11" s="835">
        <f t="shared" si="0"/>
        <v>0</v>
      </c>
      <c r="H11" s="835">
        <f t="shared" si="0"/>
        <v>0</v>
      </c>
      <c r="I11" s="835">
        <f t="shared" si="0"/>
        <v>0</v>
      </c>
      <c r="J11" s="835">
        <f t="shared" si="0"/>
        <v>0</v>
      </c>
      <c r="K11" s="835">
        <f t="shared" si="0"/>
        <v>0</v>
      </c>
      <c r="L11" s="835">
        <f t="shared" si="0"/>
        <v>0</v>
      </c>
    </row>
    <row r="12" spans="1:12" s="741" customFormat="1" ht="23.25" customHeight="1">
      <c r="A12" s="667" t="s">
        <v>0</v>
      </c>
      <c r="B12" s="668" t="s">
        <v>97</v>
      </c>
      <c r="C12" s="835"/>
      <c r="D12" s="835"/>
      <c r="E12" s="835"/>
      <c r="F12" s="835"/>
      <c r="G12" s="835"/>
      <c r="H12" s="835"/>
      <c r="I12" s="835"/>
      <c r="J12" s="835"/>
      <c r="K12" s="835"/>
      <c r="L12" s="835"/>
    </row>
    <row r="13" spans="1:12" s="741" customFormat="1" ht="23.25" customHeight="1">
      <c r="A13" s="670" t="s">
        <v>1</v>
      </c>
      <c r="B13" s="668" t="s">
        <v>18</v>
      </c>
      <c r="C13" s="835">
        <f>C14+C15+C16+C17+C18+C19+C20</f>
        <v>0</v>
      </c>
      <c r="D13" s="835">
        <f aca="true" t="shared" si="1" ref="D13:L13">D14+D15+D16+D17+D18+D19+D20</f>
        <v>0</v>
      </c>
      <c r="E13" s="835">
        <f t="shared" si="1"/>
        <v>0</v>
      </c>
      <c r="F13" s="835">
        <f t="shared" si="1"/>
        <v>0</v>
      </c>
      <c r="G13" s="835">
        <f t="shared" si="1"/>
        <v>0</v>
      </c>
      <c r="H13" s="835">
        <f t="shared" si="1"/>
        <v>0</v>
      </c>
      <c r="I13" s="835">
        <f t="shared" si="1"/>
        <v>0</v>
      </c>
      <c r="J13" s="835">
        <f t="shared" si="1"/>
        <v>0</v>
      </c>
      <c r="K13" s="835">
        <f t="shared" si="1"/>
        <v>0</v>
      </c>
      <c r="L13" s="835">
        <f t="shared" si="1"/>
        <v>0</v>
      </c>
    </row>
    <row r="14" spans="1:12" s="741" customFormat="1" ht="23.25" customHeight="1">
      <c r="A14" s="671">
        <v>1</v>
      </c>
      <c r="B14" s="837" t="s">
        <v>714</v>
      </c>
      <c r="C14" s="835">
        <v>0</v>
      </c>
      <c r="D14" s="835"/>
      <c r="E14" s="835"/>
      <c r="F14" s="835"/>
      <c r="G14" s="835"/>
      <c r="H14" s="835"/>
      <c r="I14" s="835"/>
      <c r="J14" s="835"/>
      <c r="K14" s="835"/>
      <c r="L14" s="835"/>
    </row>
    <row r="15" spans="1:12" s="741" customFormat="1" ht="23.25" customHeight="1">
      <c r="A15" s="671">
        <v>2</v>
      </c>
      <c r="B15" s="837" t="s">
        <v>715</v>
      </c>
      <c r="C15" s="835">
        <v>0</v>
      </c>
      <c r="D15" s="835"/>
      <c r="E15" s="835"/>
      <c r="F15" s="835"/>
      <c r="G15" s="835"/>
      <c r="H15" s="835"/>
      <c r="I15" s="835"/>
      <c r="J15" s="835"/>
      <c r="K15" s="835"/>
      <c r="L15" s="835"/>
    </row>
    <row r="16" spans="1:12" s="741" customFormat="1" ht="23.25" customHeight="1">
      <c r="A16" s="671">
        <v>3</v>
      </c>
      <c r="B16" s="837" t="s">
        <v>716</v>
      </c>
      <c r="C16" s="835">
        <v>0</v>
      </c>
      <c r="D16" s="835"/>
      <c r="E16" s="835"/>
      <c r="F16" s="835"/>
      <c r="G16" s="835"/>
      <c r="H16" s="835"/>
      <c r="I16" s="835"/>
      <c r="J16" s="835"/>
      <c r="K16" s="835"/>
      <c r="L16" s="835"/>
    </row>
    <row r="17" spans="1:12" s="741" customFormat="1" ht="23.25" customHeight="1">
      <c r="A17" s="671">
        <v>4</v>
      </c>
      <c r="B17" s="837" t="s">
        <v>717</v>
      </c>
      <c r="C17" s="835"/>
      <c r="D17" s="835"/>
      <c r="E17" s="835"/>
      <c r="F17" s="835"/>
      <c r="G17" s="835"/>
      <c r="H17" s="835"/>
      <c r="I17" s="835"/>
      <c r="J17" s="835"/>
      <c r="K17" s="835"/>
      <c r="L17" s="835"/>
    </row>
    <row r="18" spans="1:12" s="741" customFormat="1" ht="23.25" customHeight="1">
      <c r="A18" s="671">
        <v>5</v>
      </c>
      <c r="B18" s="837" t="s">
        <v>718</v>
      </c>
      <c r="C18" s="835"/>
      <c r="D18" s="835"/>
      <c r="E18" s="835"/>
      <c r="F18" s="835"/>
      <c r="G18" s="835"/>
      <c r="H18" s="835"/>
      <c r="I18" s="835"/>
      <c r="J18" s="835"/>
      <c r="K18" s="835"/>
      <c r="L18" s="835"/>
    </row>
    <row r="19" spans="1:12" s="741" customFormat="1" ht="23.25" customHeight="1">
      <c r="A19" s="671">
        <v>6</v>
      </c>
      <c r="B19" s="837" t="s">
        <v>719</v>
      </c>
      <c r="C19" s="835"/>
      <c r="D19" s="835"/>
      <c r="E19" s="835"/>
      <c r="F19" s="835"/>
      <c r="G19" s="835"/>
      <c r="H19" s="835"/>
      <c r="I19" s="835"/>
      <c r="J19" s="835"/>
      <c r="K19" s="835"/>
      <c r="L19" s="835"/>
    </row>
    <row r="20" spans="1:12" s="741" customFormat="1" ht="23.25" customHeight="1">
      <c r="A20" s="671">
        <v>7</v>
      </c>
      <c r="B20" s="837" t="s">
        <v>720</v>
      </c>
      <c r="C20" s="835"/>
      <c r="D20" s="835"/>
      <c r="E20" s="835"/>
      <c r="F20" s="835"/>
      <c r="G20" s="835"/>
      <c r="H20" s="835"/>
      <c r="I20" s="835"/>
      <c r="J20" s="835"/>
      <c r="K20" s="835"/>
      <c r="L20" s="835"/>
    </row>
    <row r="21" spans="2:12" ht="18" customHeight="1">
      <c r="B21" s="791"/>
      <c r="C21" s="791"/>
      <c r="D21" s="791"/>
      <c r="E21" s="791"/>
      <c r="F21" s="791"/>
      <c r="G21" s="791"/>
      <c r="H21" s="791"/>
      <c r="I21" s="791"/>
      <c r="J21" s="791"/>
      <c r="K21" s="791"/>
      <c r="L21" s="791"/>
    </row>
    <row r="22" spans="1:12" s="652" customFormat="1" ht="18" customHeight="1">
      <c r="A22" s="672"/>
      <c r="B22" s="1721"/>
      <c r="C22" s="1721"/>
      <c r="D22" s="1721"/>
      <c r="E22" s="792"/>
      <c r="F22" s="705"/>
      <c r="G22" s="705"/>
      <c r="H22" s="1794" t="str">
        <f>'Thong tin'!B8</f>
        <v>Tuyên Quang, ngày 05 tháng 04 năm 2017</v>
      </c>
      <c r="I22" s="1794"/>
      <c r="J22" s="1794"/>
      <c r="K22" s="1794"/>
      <c r="L22" s="1794"/>
    </row>
    <row r="23" spans="1:12" s="652" customFormat="1" ht="19.5" customHeight="1">
      <c r="A23" s="672"/>
      <c r="B23" s="1722" t="s">
        <v>331</v>
      </c>
      <c r="C23" s="1722"/>
      <c r="D23" s="1722"/>
      <c r="E23" s="792"/>
      <c r="F23" s="676"/>
      <c r="G23" s="676"/>
      <c r="H23" s="1713" t="str">
        <f>'Thong tin'!B7</f>
        <v>CỤC TRƯỞNG</v>
      </c>
      <c r="I23" s="1713"/>
      <c r="J23" s="1713"/>
      <c r="K23" s="1713"/>
      <c r="L23" s="1713"/>
    </row>
    <row r="24" spans="1:12" s="652" customFormat="1" ht="15" customHeight="1">
      <c r="A24" s="672"/>
      <c r="B24" s="1876"/>
      <c r="C24" s="1876"/>
      <c r="D24" s="1876"/>
      <c r="E24" s="792"/>
      <c r="F24" s="676"/>
      <c r="G24" s="676"/>
      <c r="H24" s="1713"/>
      <c r="I24" s="1713"/>
      <c r="J24" s="1713"/>
      <c r="K24" s="1713"/>
      <c r="L24" s="1713"/>
    </row>
    <row r="25" spans="1:12" s="652" customFormat="1" ht="15" customHeight="1">
      <c r="A25" s="672"/>
      <c r="B25" s="678"/>
      <c r="C25" s="678"/>
      <c r="D25" s="792"/>
      <c r="E25" s="792"/>
      <c r="F25" s="676"/>
      <c r="G25" s="676"/>
      <c r="H25" s="679"/>
      <c r="I25" s="679"/>
      <c r="J25" s="679"/>
      <c r="K25" s="679"/>
      <c r="L25" s="679"/>
    </row>
    <row r="26" spans="1:12" s="652" customFormat="1" ht="15" customHeight="1">
      <c r="A26" s="672"/>
      <c r="B26" s="678"/>
      <c r="C26" s="678"/>
      <c r="D26" s="792"/>
      <c r="E26" s="792"/>
      <c r="F26" s="676"/>
      <c r="G26" s="676"/>
      <c r="H26" s="679"/>
      <c r="I26" s="679"/>
      <c r="J26" s="679"/>
      <c r="K26" s="679"/>
      <c r="L26" s="679"/>
    </row>
    <row r="27" spans="2:12" ht="19.5">
      <c r="B27" s="1874"/>
      <c r="C27" s="1874"/>
      <c r="D27" s="1874"/>
      <c r="E27" s="790"/>
      <c r="F27" s="790"/>
      <c r="G27" s="790"/>
      <c r="H27" s="790"/>
      <c r="I27" s="790"/>
      <c r="J27" s="793"/>
      <c r="K27" s="790"/>
      <c r="L27" s="790"/>
    </row>
    <row r="28" spans="2:12" ht="18.75">
      <c r="B28" s="790"/>
      <c r="C28" s="790"/>
      <c r="D28" s="790"/>
      <c r="E28" s="790"/>
      <c r="F28" s="790"/>
      <c r="G28" s="790"/>
      <c r="H28" s="790"/>
      <c r="I28" s="790"/>
      <c r="J28" s="790"/>
      <c r="K28" s="790"/>
      <c r="L28" s="790"/>
    </row>
    <row r="29" spans="2:12" ht="18.75">
      <c r="B29" s="790"/>
      <c r="C29" s="790"/>
      <c r="D29" s="790"/>
      <c r="E29" s="790"/>
      <c r="F29" s="790"/>
      <c r="G29" s="790"/>
      <c r="H29" s="790"/>
      <c r="I29" s="790"/>
      <c r="J29" s="790"/>
      <c r="K29" s="790"/>
      <c r="L29" s="790"/>
    </row>
    <row r="30" spans="1:12" s="637" customFormat="1" ht="18.75" hidden="1">
      <c r="A30" s="698" t="s">
        <v>46</v>
      </c>
      <c r="B30" s="770"/>
      <c r="C30" s="770"/>
      <c r="D30" s="770"/>
      <c r="E30" s="770"/>
      <c r="F30" s="770"/>
      <c r="G30" s="770"/>
      <c r="H30" s="770"/>
      <c r="I30" s="770"/>
      <c r="J30" s="770"/>
      <c r="K30" s="770"/>
      <c r="L30" s="770"/>
    </row>
    <row r="31" spans="1:12" s="637" customFormat="1" ht="15" customHeight="1" hidden="1">
      <c r="A31" s="642"/>
      <c r="B31" s="1875" t="s">
        <v>332</v>
      </c>
      <c r="C31" s="1875"/>
      <c r="D31" s="1875"/>
      <c r="E31" s="1875"/>
      <c r="F31" s="1875"/>
      <c r="G31" s="1875"/>
      <c r="H31" s="1875"/>
      <c r="I31" s="1875"/>
      <c r="J31" s="1875"/>
      <c r="K31" s="794"/>
      <c r="L31" s="673"/>
    </row>
    <row r="32" spans="2:12" s="637" customFormat="1" ht="18.75" hidden="1">
      <c r="B32" s="777" t="s">
        <v>333</v>
      </c>
      <c r="C32" s="770"/>
      <c r="D32" s="770"/>
      <c r="E32" s="770"/>
      <c r="F32" s="770"/>
      <c r="G32" s="770"/>
      <c r="H32" s="770"/>
      <c r="I32" s="770"/>
      <c r="J32" s="770"/>
      <c r="K32" s="770"/>
      <c r="L32" s="770"/>
    </row>
    <row r="33" spans="2:12" ht="18.75" hidden="1">
      <c r="B33" s="777" t="s">
        <v>334</v>
      </c>
      <c r="C33" s="790"/>
      <c r="D33" s="790"/>
      <c r="E33" s="790"/>
      <c r="F33" s="790"/>
      <c r="G33" s="790"/>
      <c r="H33" s="790"/>
      <c r="I33" s="790"/>
      <c r="J33" s="790"/>
      <c r="K33" s="790"/>
      <c r="L33" s="790"/>
    </row>
    <row r="34" spans="2:12" ht="18.75" hidden="1">
      <c r="B34" s="790"/>
      <c r="C34" s="790"/>
      <c r="D34" s="790"/>
      <c r="E34" s="790"/>
      <c r="F34" s="790"/>
      <c r="G34" s="790"/>
      <c r="H34" s="790"/>
      <c r="I34" s="790"/>
      <c r="J34" s="790"/>
      <c r="K34" s="790"/>
      <c r="L34" s="790"/>
    </row>
    <row r="35" spans="2:12" ht="18.75">
      <c r="B35" s="1634" t="str">
        <f>'Thong tin'!B5</f>
        <v>Duy Thị Thúy</v>
      </c>
      <c r="C35" s="1634"/>
      <c r="D35" s="1634"/>
      <c r="E35" s="780"/>
      <c r="F35" s="780"/>
      <c r="G35" s="768"/>
      <c r="H35" s="1634" t="str">
        <f>'Thong tin'!B6</f>
        <v>Nguyễn Tuyên </v>
      </c>
      <c r="I35" s="1634"/>
      <c r="J35" s="1634"/>
      <c r="K35" s="1634"/>
      <c r="L35" s="1634"/>
    </row>
    <row r="36" spans="2:12" ht="18.75">
      <c r="B36" s="743"/>
      <c r="C36" s="743"/>
      <c r="D36" s="743"/>
      <c r="E36" s="743"/>
      <c r="F36" s="743"/>
      <c r="G36" s="743"/>
      <c r="H36" s="743"/>
      <c r="I36" s="743"/>
      <c r="J36" s="743"/>
      <c r="K36" s="743"/>
      <c r="L36" s="743"/>
    </row>
  </sheetData>
  <sheetProtection/>
  <mergeCells count="31">
    <mergeCell ref="J2:L2"/>
    <mergeCell ref="A6:B9"/>
    <mergeCell ref="K7:L8"/>
    <mergeCell ref="B27:D27"/>
    <mergeCell ref="B31:J31"/>
    <mergeCell ref="B24:D24"/>
    <mergeCell ref="H23:L23"/>
    <mergeCell ref="E8:F8"/>
    <mergeCell ref="J4:L4"/>
    <mergeCell ref="I7:J8"/>
    <mergeCell ref="A1:C1"/>
    <mergeCell ref="D1:I1"/>
    <mergeCell ref="A2:C2"/>
    <mergeCell ref="D2:I2"/>
    <mergeCell ref="A4:C4"/>
    <mergeCell ref="C6:H6"/>
    <mergeCell ref="A3:C3"/>
    <mergeCell ref="D4:I4"/>
    <mergeCell ref="D3:I3"/>
    <mergeCell ref="B35:D35"/>
    <mergeCell ref="H35:L35"/>
    <mergeCell ref="B22:D22"/>
    <mergeCell ref="H22:L22"/>
    <mergeCell ref="B23:D23"/>
    <mergeCell ref="A10:B10"/>
    <mergeCell ref="E7:H7"/>
    <mergeCell ref="C7:D8"/>
    <mergeCell ref="H24:L24"/>
    <mergeCell ref="A11:B11"/>
    <mergeCell ref="G8:H8"/>
    <mergeCell ref="I6:L6"/>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M28"/>
  <sheetViews>
    <sheetView zoomScaleSheetLayoutView="100" zoomScalePageLayoutView="0" workbookViewId="0" topLeftCell="A3">
      <selection activeCell="I14" sqref="I14"/>
    </sheetView>
  </sheetViews>
  <sheetFormatPr defaultColWidth="9.00390625" defaultRowHeight="15.75"/>
  <cols>
    <col min="1" max="1" width="4.25390625" style="652" customWidth="1"/>
    <col min="2" max="2" width="27.875" style="652" customWidth="1"/>
    <col min="3" max="3" width="12.25390625" style="652" customWidth="1"/>
    <col min="4" max="5" width="11.00390625" style="652" customWidth="1"/>
    <col min="6" max="6" width="10.625" style="652" customWidth="1"/>
    <col min="7" max="7" width="11.50390625" style="652" customWidth="1"/>
    <col min="8" max="8" width="10.75390625" style="652" customWidth="1"/>
    <col min="9" max="9" width="13.75390625" style="652" customWidth="1"/>
    <col min="10" max="10" width="14.00390625" style="652" customWidth="1"/>
    <col min="11" max="16384" width="9.00390625" style="652" customWidth="1"/>
  </cols>
  <sheetData>
    <row r="1" spans="1:10" ht="16.5" customHeight="1">
      <c r="A1" s="1867" t="s">
        <v>629</v>
      </c>
      <c r="B1" s="1867"/>
      <c r="C1" s="1888" t="s">
        <v>630</v>
      </c>
      <c r="D1" s="1888"/>
      <c r="E1" s="1888"/>
      <c r="F1" s="1888"/>
      <c r="G1" s="1888"/>
      <c r="H1" s="1888"/>
      <c r="I1" s="1884" t="s">
        <v>665</v>
      </c>
      <c r="J1" s="1758"/>
    </row>
    <row r="2" spans="1:10" ht="15" customHeight="1">
      <c r="A2" s="1881" t="s">
        <v>631</v>
      </c>
      <c r="B2" s="1881"/>
      <c r="C2" s="1888"/>
      <c r="D2" s="1888"/>
      <c r="E2" s="1888"/>
      <c r="F2" s="1888"/>
      <c r="G2" s="1888"/>
      <c r="H2" s="1888"/>
      <c r="I2" s="885" t="str">
        <f>'Thong tin'!B4</f>
        <v>Cục THADS tỉnh Tuyên Quang</v>
      </c>
      <c r="J2" s="732"/>
    </row>
    <row r="3" spans="1:10" ht="15" customHeight="1">
      <c r="A3" s="1885" t="s">
        <v>360</v>
      </c>
      <c r="B3" s="1885"/>
      <c r="C3" s="1886" t="str">
        <f>'Thong tin'!B3</f>
        <v>06 tháng / năm 2017</v>
      </c>
      <c r="D3" s="1887"/>
      <c r="E3" s="1887"/>
      <c r="F3" s="1887"/>
      <c r="G3" s="1887"/>
      <c r="H3" s="1887"/>
      <c r="I3" s="1885" t="s">
        <v>632</v>
      </c>
      <c r="J3" s="1885"/>
    </row>
    <row r="4" spans="1:9" ht="15" customHeight="1">
      <c r="A4" s="735" t="s">
        <v>603</v>
      </c>
      <c r="B4" s="735"/>
      <c r="C4" s="1880"/>
      <c r="D4" s="1880"/>
      <c r="E4" s="1880"/>
      <c r="F4" s="1880"/>
      <c r="G4" s="1880"/>
      <c r="H4" s="1880"/>
      <c r="I4" s="732" t="s">
        <v>410</v>
      </c>
    </row>
    <row r="5" spans="1:10" ht="15" customHeight="1">
      <c r="A5" s="1881"/>
      <c r="B5" s="1881"/>
      <c r="C5" s="744"/>
      <c r="D5" s="744"/>
      <c r="E5" s="744"/>
      <c r="F5" s="744"/>
      <c r="G5" s="744"/>
      <c r="H5" s="745"/>
      <c r="I5" s="1882" t="s">
        <v>633</v>
      </c>
      <c r="J5" s="1882"/>
    </row>
    <row r="6" spans="1:10" ht="30" customHeight="1">
      <c r="A6" s="1883" t="s">
        <v>71</v>
      </c>
      <c r="B6" s="1883"/>
      <c r="C6" s="1877" t="s">
        <v>634</v>
      </c>
      <c r="D6" s="1877"/>
      <c r="E6" s="1877"/>
      <c r="F6" s="1877" t="s">
        <v>635</v>
      </c>
      <c r="G6" s="1877"/>
      <c r="H6" s="1877"/>
      <c r="I6" s="1877"/>
      <c r="J6" s="1877" t="s">
        <v>636</v>
      </c>
    </row>
    <row r="7" spans="1:10" ht="24" customHeight="1">
      <c r="A7" s="1883"/>
      <c r="B7" s="1883"/>
      <c r="C7" s="1877" t="s">
        <v>225</v>
      </c>
      <c r="D7" s="1877" t="s">
        <v>7</v>
      </c>
      <c r="E7" s="1877"/>
      <c r="F7" s="1877" t="s">
        <v>637</v>
      </c>
      <c r="G7" s="1877"/>
      <c r="H7" s="1877"/>
      <c r="I7" s="1877" t="s">
        <v>638</v>
      </c>
      <c r="J7" s="1877"/>
    </row>
    <row r="8" spans="1:10" ht="24" customHeight="1">
      <c r="A8" s="1883"/>
      <c r="B8" s="1883"/>
      <c r="C8" s="1877"/>
      <c r="D8" s="1877" t="s">
        <v>639</v>
      </c>
      <c r="E8" s="1877" t="s">
        <v>640</v>
      </c>
      <c r="F8" s="1877" t="s">
        <v>36</v>
      </c>
      <c r="G8" s="1877" t="s">
        <v>7</v>
      </c>
      <c r="H8" s="1877"/>
      <c r="I8" s="1877"/>
      <c r="J8" s="1877"/>
    </row>
    <row r="9" spans="1:10" ht="45.75" customHeight="1">
      <c r="A9" s="1883"/>
      <c r="B9" s="1883"/>
      <c r="C9" s="1877"/>
      <c r="D9" s="1878"/>
      <c r="E9" s="1877"/>
      <c r="F9" s="1877"/>
      <c r="G9" s="746" t="s">
        <v>641</v>
      </c>
      <c r="H9" s="746" t="s">
        <v>642</v>
      </c>
      <c r="I9" s="1877"/>
      <c r="J9" s="1877"/>
    </row>
    <row r="10" spans="1:10" ht="14.25" customHeight="1">
      <c r="A10" s="1879" t="s">
        <v>643</v>
      </c>
      <c r="B10" s="1879"/>
      <c r="C10" s="747">
        <v>1</v>
      </c>
      <c r="D10" s="747">
        <v>2</v>
      </c>
      <c r="E10" s="747">
        <v>3</v>
      </c>
      <c r="F10" s="747">
        <v>4</v>
      </c>
      <c r="G10" s="747">
        <v>5</v>
      </c>
      <c r="H10" s="747">
        <v>6</v>
      </c>
      <c r="I10" s="747">
        <v>7</v>
      </c>
      <c r="J10" s="747">
        <v>8</v>
      </c>
    </row>
    <row r="11" spans="1:10" s="660" customFormat="1" ht="17.25" customHeight="1">
      <c r="A11" s="1877" t="s">
        <v>644</v>
      </c>
      <c r="B11" s="1877"/>
      <c r="C11" s="739">
        <f aca="true" t="shared" si="0" ref="C11:J11">C12+C13</f>
        <v>0</v>
      </c>
      <c r="D11" s="739">
        <f t="shared" si="0"/>
        <v>0</v>
      </c>
      <c r="E11" s="739">
        <f t="shared" si="0"/>
        <v>0</v>
      </c>
      <c r="F11" s="739">
        <f t="shared" si="0"/>
        <v>0</v>
      </c>
      <c r="G11" s="739">
        <f t="shared" si="0"/>
        <v>0</v>
      </c>
      <c r="H11" s="739">
        <f t="shared" si="0"/>
        <v>0</v>
      </c>
      <c r="I11" s="739">
        <f t="shared" si="0"/>
        <v>0</v>
      </c>
      <c r="J11" s="739">
        <f t="shared" si="0"/>
        <v>0</v>
      </c>
    </row>
    <row r="12" spans="1:13" s="660" customFormat="1" ht="17.25" customHeight="1">
      <c r="A12" s="667" t="s">
        <v>0</v>
      </c>
      <c r="B12" s="668" t="s">
        <v>291</v>
      </c>
      <c r="C12" s="739"/>
      <c r="D12" s="740"/>
      <c r="E12" s="740"/>
      <c r="F12" s="740"/>
      <c r="G12" s="740"/>
      <c r="H12" s="704"/>
      <c r="I12" s="748"/>
      <c r="J12" s="886"/>
      <c r="M12" s="835"/>
    </row>
    <row r="13" spans="1:10" s="660" customFormat="1" ht="17.25" customHeight="1">
      <c r="A13" s="667" t="s">
        <v>1</v>
      </c>
      <c r="B13" s="668" t="s">
        <v>18</v>
      </c>
      <c r="C13" s="739">
        <f aca="true" t="shared" si="1" ref="C13:H14">C14+C15+C16+C17+C18+C19+C20</f>
        <v>0</v>
      </c>
      <c r="D13" s="739">
        <f t="shared" si="1"/>
        <v>0</v>
      </c>
      <c r="E13" s="739">
        <f t="shared" si="1"/>
        <v>0</v>
      </c>
      <c r="F13" s="739">
        <f t="shared" si="1"/>
        <v>0</v>
      </c>
      <c r="G13" s="739">
        <f t="shared" si="1"/>
        <v>0</v>
      </c>
      <c r="H13" s="739">
        <f t="shared" si="1"/>
        <v>0</v>
      </c>
      <c r="I13" s="740"/>
      <c r="J13" s="740"/>
    </row>
    <row r="14" spans="1:10" s="660" customFormat="1" ht="22.5" customHeight="1">
      <c r="A14" s="716">
        <v>1</v>
      </c>
      <c r="B14" s="837" t="s">
        <v>714</v>
      </c>
      <c r="C14" s="740">
        <f>D14+E14</f>
        <v>0</v>
      </c>
      <c r="D14" s="740">
        <v>0</v>
      </c>
      <c r="E14" s="740"/>
      <c r="F14" s="739">
        <f t="shared" si="1"/>
        <v>0</v>
      </c>
      <c r="G14" s="740"/>
      <c r="H14" s="704">
        <v>0</v>
      </c>
      <c r="I14" s="704"/>
      <c r="J14" s="704"/>
    </row>
    <row r="15" spans="1:10" s="660" customFormat="1" ht="22.5" customHeight="1">
      <c r="A15" s="716">
        <v>2</v>
      </c>
      <c r="B15" s="837" t="s">
        <v>715</v>
      </c>
      <c r="C15" s="739"/>
      <c r="D15" s="740"/>
      <c r="E15" s="740"/>
      <c r="F15" s="740"/>
      <c r="G15" s="749"/>
      <c r="H15" s="750"/>
      <c r="I15" s="750"/>
      <c r="J15" s="750"/>
    </row>
    <row r="16" spans="1:10" s="660" customFormat="1" ht="22.5" customHeight="1">
      <c r="A16" s="716">
        <v>3</v>
      </c>
      <c r="B16" s="837" t="s">
        <v>716</v>
      </c>
      <c r="C16" s="739"/>
      <c r="D16" s="740"/>
      <c r="E16" s="740"/>
      <c r="F16" s="740"/>
      <c r="G16" s="749"/>
      <c r="H16" s="750"/>
      <c r="I16" s="750"/>
      <c r="J16" s="750"/>
    </row>
    <row r="17" spans="1:10" s="660" customFormat="1" ht="22.5" customHeight="1">
      <c r="A17" s="716">
        <v>4</v>
      </c>
      <c r="B17" s="837" t="s">
        <v>717</v>
      </c>
      <c r="C17" s="739"/>
      <c r="D17" s="740"/>
      <c r="E17" s="740"/>
      <c r="F17" s="740"/>
      <c r="G17" s="749"/>
      <c r="H17" s="750"/>
      <c r="I17" s="750"/>
      <c r="J17" s="750"/>
    </row>
    <row r="18" spans="1:10" s="660" customFormat="1" ht="22.5" customHeight="1">
      <c r="A18" s="716">
        <v>5</v>
      </c>
      <c r="B18" s="837" t="s">
        <v>718</v>
      </c>
      <c r="C18" s="739"/>
      <c r="D18" s="740"/>
      <c r="E18" s="740"/>
      <c r="F18" s="740"/>
      <c r="G18" s="749"/>
      <c r="H18" s="750"/>
      <c r="I18" s="750"/>
      <c r="J18" s="750"/>
    </row>
    <row r="19" spans="1:10" s="660" customFormat="1" ht="22.5" customHeight="1">
      <c r="A19" s="716">
        <v>6</v>
      </c>
      <c r="B19" s="837" t="s">
        <v>719</v>
      </c>
      <c r="C19" s="739"/>
      <c r="D19" s="740"/>
      <c r="E19" s="740"/>
      <c r="F19" s="740"/>
      <c r="G19" s="749"/>
      <c r="H19" s="750"/>
      <c r="I19" s="750"/>
      <c r="J19" s="750"/>
    </row>
    <row r="20" spans="1:10" s="660" customFormat="1" ht="22.5" customHeight="1">
      <c r="A20" s="716">
        <v>7</v>
      </c>
      <c r="B20" s="837" t="s">
        <v>720</v>
      </c>
      <c r="C20" s="739"/>
      <c r="D20" s="740"/>
      <c r="E20" s="740"/>
      <c r="F20" s="740"/>
      <c r="G20" s="749"/>
      <c r="H20" s="750"/>
      <c r="I20" s="750"/>
      <c r="J20" s="750"/>
    </row>
    <row r="21" spans="1:10" s="660" customFormat="1" ht="18" customHeight="1">
      <c r="A21" s="751"/>
      <c r="B21" s="795"/>
      <c r="C21" s="796"/>
      <c r="D21" s="796"/>
      <c r="E21" s="796"/>
      <c r="F21" s="796"/>
      <c r="G21" s="797"/>
      <c r="H21" s="798"/>
      <c r="I21" s="798"/>
      <c r="J21" s="799"/>
    </row>
    <row r="22" spans="1:10" ht="18" customHeight="1">
      <c r="A22" s="672"/>
      <c r="B22" s="1721"/>
      <c r="C22" s="1721"/>
      <c r="D22" s="792"/>
      <c r="E22" s="792"/>
      <c r="F22" s="792"/>
      <c r="G22" s="1794" t="str">
        <f>'Thong tin'!B8</f>
        <v>Tuyên Quang, ngày 05 tháng 04 năm 2017</v>
      </c>
      <c r="H22" s="1794"/>
      <c r="I22" s="1794"/>
      <c r="J22" s="1794"/>
    </row>
    <row r="23" spans="1:10" ht="18.75" customHeight="1">
      <c r="A23" s="672"/>
      <c r="B23" s="1722" t="s">
        <v>4</v>
      </c>
      <c r="C23" s="1722"/>
      <c r="D23" s="792"/>
      <c r="E23" s="792"/>
      <c r="F23" s="792"/>
      <c r="G23" s="1713" t="str">
        <f>'Thong tin'!B7</f>
        <v>CỤC TRƯỞNG</v>
      </c>
      <c r="H23" s="1713"/>
      <c r="I23" s="1713"/>
      <c r="J23" s="1713"/>
    </row>
    <row r="24" spans="1:10" ht="18.75" customHeight="1">
      <c r="A24" s="672"/>
      <c r="B24" s="678"/>
      <c r="C24" s="678"/>
      <c r="D24" s="792"/>
      <c r="E24" s="792"/>
      <c r="F24" s="792"/>
      <c r="G24" s="679"/>
      <c r="H24" s="679"/>
      <c r="I24" s="679"/>
      <c r="J24" s="679"/>
    </row>
    <row r="25" spans="1:10" ht="18.75" customHeight="1">
      <c r="A25" s="672"/>
      <c r="B25" s="678"/>
      <c r="C25" s="678"/>
      <c r="D25" s="792"/>
      <c r="E25" s="792"/>
      <c r="F25" s="792"/>
      <c r="G25" s="679"/>
      <c r="H25" s="679"/>
      <c r="I25" s="679"/>
      <c r="J25" s="679"/>
    </row>
    <row r="26" spans="1:10" ht="18.75" customHeight="1">
      <c r="A26" s="672"/>
      <c r="B26" s="678"/>
      <c r="C26" s="678"/>
      <c r="D26" s="792"/>
      <c r="E26" s="792"/>
      <c r="F26" s="792"/>
      <c r="G26" s="679"/>
      <c r="H26" s="679"/>
      <c r="I26" s="679"/>
      <c r="J26" s="679"/>
    </row>
    <row r="27" spans="2:10" ht="18.75">
      <c r="B27" s="1876"/>
      <c r="C27" s="1876"/>
      <c r="D27" s="768"/>
      <c r="E27" s="768"/>
      <c r="F27" s="768"/>
      <c r="G27" s="1713"/>
      <c r="H27" s="1713"/>
      <c r="I27" s="1713"/>
      <c r="J27" s="1713"/>
    </row>
    <row r="28" spans="2:10" ht="18.75">
      <c r="B28" s="1634" t="str">
        <f>'Thong tin'!B5</f>
        <v>Duy Thị Thúy</v>
      </c>
      <c r="C28" s="1634"/>
      <c r="D28" s="780"/>
      <c r="E28" s="780"/>
      <c r="F28" s="780"/>
      <c r="G28" s="1634" t="str">
        <f>'Thong tin'!B6</f>
        <v>Nguyễn Tuyên </v>
      </c>
      <c r="H28" s="1634"/>
      <c r="I28" s="1634"/>
      <c r="J28" s="1634"/>
    </row>
  </sheetData>
  <sheetProtection/>
  <mergeCells count="32">
    <mergeCell ref="A1:B1"/>
    <mergeCell ref="I1:J1"/>
    <mergeCell ref="A2:B2"/>
    <mergeCell ref="A3:B3"/>
    <mergeCell ref="C3:H3"/>
    <mergeCell ref="I3:J3"/>
    <mergeCell ref="C1:H2"/>
    <mergeCell ref="A10:B10"/>
    <mergeCell ref="C4:H4"/>
    <mergeCell ref="A5:B5"/>
    <mergeCell ref="I5:J5"/>
    <mergeCell ref="A6:B9"/>
    <mergeCell ref="C6:E6"/>
    <mergeCell ref="F6:I6"/>
    <mergeCell ref="J6:J9"/>
    <mergeCell ref="C7:C9"/>
    <mergeCell ref="D7:E7"/>
    <mergeCell ref="I7:I9"/>
    <mergeCell ref="D8:D9"/>
    <mergeCell ref="E8:E9"/>
    <mergeCell ref="F8:F9"/>
    <mergeCell ref="G8:H8"/>
    <mergeCell ref="F7:H7"/>
    <mergeCell ref="A11:B11"/>
    <mergeCell ref="B22:C22"/>
    <mergeCell ref="G22:J22"/>
    <mergeCell ref="B23:C23"/>
    <mergeCell ref="G23:J23"/>
    <mergeCell ref="B28:C28"/>
    <mergeCell ref="G28:J28"/>
    <mergeCell ref="B27:C27"/>
    <mergeCell ref="G27:J27"/>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221" t="s">
        <v>116</v>
      </c>
      <c r="B1" s="1221"/>
      <c r="C1" s="1221"/>
      <c r="D1" s="1300" t="s">
        <v>462</v>
      </c>
      <c r="E1" s="1300"/>
      <c r="F1" s="1300"/>
      <c r="G1" s="1300"/>
      <c r="H1" s="1300"/>
      <c r="I1" s="1300"/>
      <c r="J1" s="1301" t="s">
        <v>463</v>
      </c>
      <c r="K1" s="1275"/>
      <c r="L1" s="1275"/>
    </row>
    <row r="2" spans="1:13" ht="15.75" customHeight="1">
      <c r="A2" s="1299" t="s">
        <v>408</v>
      </c>
      <c r="B2" s="1299"/>
      <c r="C2" s="1299"/>
      <c r="D2" s="1300"/>
      <c r="E2" s="1300"/>
      <c r="F2" s="1300"/>
      <c r="G2" s="1300"/>
      <c r="H2" s="1300"/>
      <c r="I2" s="1300"/>
      <c r="J2" s="1275" t="s">
        <v>409</v>
      </c>
      <c r="K2" s="1275"/>
      <c r="L2" s="1275"/>
      <c r="M2" s="142"/>
    </row>
    <row r="3" spans="1:13" ht="15.75" customHeight="1">
      <c r="A3" s="1223" t="s">
        <v>360</v>
      </c>
      <c r="B3" s="1223"/>
      <c r="C3" s="1223"/>
      <c r="D3" s="1300"/>
      <c r="E3" s="1300"/>
      <c r="F3" s="1300"/>
      <c r="G3" s="1300"/>
      <c r="H3" s="1300"/>
      <c r="I3" s="1300"/>
      <c r="J3" s="1301" t="s">
        <v>464</v>
      </c>
      <c r="K3" s="1301"/>
      <c r="L3" s="1301"/>
      <c r="M3" s="46"/>
    </row>
    <row r="4" spans="1:13" ht="15.75" customHeight="1">
      <c r="A4" s="1288" t="s">
        <v>362</v>
      </c>
      <c r="B4" s="1288"/>
      <c r="C4" s="1288"/>
      <c r="D4" s="1287"/>
      <c r="E4" s="1287"/>
      <c r="F4" s="1287"/>
      <c r="G4" s="1287"/>
      <c r="H4" s="1287"/>
      <c r="I4" s="1287"/>
      <c r="J4" s="1275" t="s">
        <v>410</v>
      </c>
      <c r="K4" s="1275"/>
      <c r="L4" s="1275"/>
      <c r="M4" s="142"/>
    </row>
    <row r="5" spans="1:13" ht="15.75">
      <c r="A5" s="143"/>
      <c r="B5" s="143"/>
      <c r="C5" s="43"/>
      <c r="D5" s="43"/>
      <c r="E5" s="43"/>
      <c r="F5" s="43"/>
      <c r="G5" s="43"/>
      <c r="H5" s="43"/>
      <c r="I5" s="43"/>
      <c r="J5" s="1286" t="s">
        <v>8</v>
      </c>
      <c r="K5" s="1286"/>
      <c r="L5" s="1286"/>
      <c r="M5" s="142"/>
    </row>
    <row r="6" spans="1:14" ht="15.75">
      <c r="A6" s="1276" t="s">
        <v>71</v>
      </c>
      <c r="B6" s="1277"/>
      <c r="C6" s="1249" t="s">
        <v>411</v>
      </c>
      <c r="D6" s="1303" t="s">
        <v>412</v>
      </c>
      <c r="E6" s="1303"/>
      <c r="F6" s="1303"/>
      <c r="G6" s="1303"/>
      <c r="H6" s="1303"/>
      <c r="I6" s="1303"/>
      <c r="J6" s="1218" t="s">
        <v>114</v>
      </c>
      <c r="K6" s="1218"/>
      <c r="L6" s="1218"/>
      <c r="M6" s="1304" t="s">
        <v>413</v>
      </c>
      <c r="N6" s="1302" t="s">
        <v>414</v>
      </c>
    </row>
    <row r="7" spans="1:14" ht="15.75" customHeight="1">
      <c r="A7" s="1278"/>
      <c r="B7" s="1279"/>
      <c r="C7" s="1249"/>
      <c r="D7" s="1303" t="s">
        <v>7</v>
      </c>
      <c r="E7" s="1303"/>
      <c r="F7" s="1303"/>
      <c r="G7" s="1303"/>
      <c r="H7" s="1303"/>
      <c r="I7" s="1303"/>
      <c r="J7" s="1218"/>
      <c r="K7" s="1218"/>
      <c r="L7" s="1218"/>
      <c r="M7" s="1304"/>
      <c r="N7" s="1302"/>
    </row>
    <row r="8" spans="1:14" s="82" customFormat="1" ht="31.5" customHeight="1">
      <c r="A8" s="1278"/>
      <c r="B8" s="1279"/>
      <c r="C8" s="1249"/>
      <c r="D8" s="1218" t="s">
        <v>112</v>
      </c>
      <c r="E8" s="1218" t="s">
        <v>113</v>
      </c>
      <c r="F8" s="1218"/>
      <c r="G8" s="1218"/>
      <c r="H8" s="1218"/>
      <c r="I8" s="1218"/>
      <c r="J8" s="1218"/>
      <c r="K8" s="1218"/>
      <c r="L8" s="1218"/>
      <c r="M8" s="1304"/>
      <c r="N8" s="1302"/>
    </row>
    <row r="9" spans="1:14" s="82" customFormat="1" ht="15.75" customHeight="1">
      <c r="A9" s="1278"/>
      <c r="B9" s="1279"/>
      <c r="C9" s="1249"/>
      <c r="D9" s="1218"/>
      <c r="E9" s="1218" t="s">
        <v>115</v>
      </c>
      <c r="F9" s="1218" t="s">
        <v>7</v>
      </c>
      <c r="G9" s="1218"/>
      <c r="H9" s="1218"/>
      <c r="I9" s="1218"/>
      <c r="J9" s="1218" t="s">
        <v>7</v>
      </c>
      <c r="K9" s="1218"/>
      <c r="L9" s="1218"/>
      <c r="M9" s="1304"/>
      <c r="N9" s="1302"/>
    </row>
    <row r="10" spans="1:14" s="82" customFormat="1" ht="86.25" customHeight="1">
      <c r="A10" s="1280"/>
      <c r="B10" s="1281"/>
      <c r="C10" s="1249"/>
      <c r="D10" s="1218"/>
      <c r="E10" s="1218"/>
      <c r="F10" s="113" t="s">
        <v>23</v>
      </c>
      <c r="G10" s="113" t="s">
        <v>25</v>
      </c>
      <c r="H10" s="113" t="s">
        <v>17</v>
      </c>
      <c r="I10" s="113" t="s">
        <v>24</v>
      </c>
      <c r="J10" s="113" t="s">
        <v>16</v>
      </c>
      <c r="K10" s="113" t="s">
        <v>21</v>
      </c>
      <c r="L10" s="113" t="s">
        <v>22</v>
      </c>
      <c r="M10" s="1304"/>
      <c r="N10" s="1302"/>
    </row>
    <row r="11" spans="1:32" ht="13.5" customHeight="1">
      <c r="A11" s="1293" t="s">
        <v>5</v>
      </c>
      <c r="B11" s="1294"/>
      <c r="C11" s="144">
        <v>1</v>
      </c>
      <c r="D11" s="144" t="s">
        <v>52</v>
      </c>
      <c r="E11" s="144" t="s">
        <v>57</v>
      </c>
      <c r="F11" s="144" t="s">
        <v>72</v>
      </c>
      <c r="G11" s="144" t="s">
        <v>73</v>
      </c>
      <c r="H11" s="144" t="s">
        <v>74</v>
      </c>
      <c r="I11" s="144" t="s">
        <v>75</v>
      </c>
      <c r="J11" s="144" t="s">
        <v>76</v>
      </c>
      <c r="K11" s="144" t="s">
        <v>77</v>
      </c>
      <c r="L11" s="144" t="s">
        <v>100</v>
      </c>
      <c r="M11" s="145"/>
      <c r="N11" s="146"/>
      <c r="AF11" s="42" t="s">
        <v>374</v>
      </c>
    </row>
    <row r="12" spans="1:14" ht="24" customHeight="1">
      <c r="A12" s="1282" t="s">
        <v>405</v>
      </c>
      <c r="B12" s="1283"/>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96" t="s">
        <v>361</v>
      </c>
      <c r="B13" s="1297"/>
      <c r="C13" s="148">
        <v>59</v>
      </c>
      <c r="D13" s="148">
        <v>43</v>
      </c>
      <c r="E13" s="148">
        <v>0</v>
      </c>
      <c r="F13" s="148">
        <v>5</v>
      </c>
      <c r="G13" s="148">
        <v>2</v>
      </c>
      <c r="H13" s="148">
        <v>7</v>
      </c>
      <c r="I13" s="148">
        <v>2</v>
      </c>
      <c r="J13" s="148">
        <v>10</v>
      </c>
      <c r="K13" s="148">
        <v>44</v>
      </c>
      <c r="L13" s="148">
        <v>5</v>
      </c>
      <c r="M13" s="145"/>
      <c r="N13" s="146"/>
    </row>
    <row r="14" spans="1:37" s="61" customFormat="1" ht="16.5" customHeight="1">
      <c r="A14" s="1291" t="s">
        <v>36</v>
      </c>
      <c r="B14" s="1292"/>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97</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18</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51</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52</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57</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72</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73</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74</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75</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76</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77</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100</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101</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1204" t="s">
        <v>465</v>
      </c>
      <c r="B29" s="1295"/>
      <c r="C29" s="1295"/>
      <c r="D29" s="1295"/>
      <c r="E29" s="167"/>
      <c r="F29" s="167"/>
      <c r="G29" s="167"/>
      <c r="H29" s="1284" t="s">
        <v>415</v>
      </c>
      <c r="I29" s="1284"/>
      <c r="J29" s="1284"/>
      <c r="K29" s="1284"/>
      <c r="L29" s="1284"/>
      <c r="M29" s="168"/>
    </row>
    <row r="30" spans="1:12" ht="18.75">
      <c r="A30" s="1295"/>
      <c r="B30" s="1295"/>
      <c r="C30" s="1295"/>
      <c r="D30" s="1295"/>
      <c r="E30" s="167"/>
      <c r="F30" s="167"/>
      <c r="G30" s="167"/>
      <c r="H30" s="1285" t="s">
        <v>416</v>
      </c>
      <c r="I30" s="1285"/>
      <c r="J30" s="1285"/>
      <c r="K30" s="1285"/>
      <c r="L30" s="1285"/>
    </row>
    <row r="31" spans="1:12" s="41" customFormat="1" ht="16.5" customHeight="1">
      <c r="A31" s="1200"/>
      <c r="B31" s="1200"/>
      <c r="C31" s="1200"/>
      <c r="D31" s="1200"/>
      <c r="E31" s="169"/>
      <c r="F31" s="169"/>
      <c r="G31" s="169"/>
      <c r="H31" s="1201"/>
      <c r="I31" s="1201"/>
      <c r="J31" s="1201"/>
      <c r="K31" s="1201"/>
      <c r="L31" s="1201"/>
    </row>
    <row r="32" spans="1:12" ht="18.75">
      <c r="A32" s="98"/>
      <c r="B32" s="1200" t="s">
        <v>397</v>
      </c>
      <c r="C32" s="1200"/>
      <c r="D32" s="1200"/>
      <c r="E32" s="169"/>
      <c r="F32" s="169"/>
      <c r="G32" s="169"/>
      <c r="H32" s="169"/>
      <c r="I32" s="1298" t="s">
        <v>397</v>
      </c>
      <c r="J32" s="1298"/>
      <c r="K32" s="1298"/>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194" t="s">
        <v>350</v>
      </c>
      <c r="B37" s="1194"/>
      <c r="C37" s="1194"/>
      <c r="D37" s="1194"/>
      <c r="E37" s="100"/>
      <c r="F37" s="100"/>
      <c r="G37" s="100"/>
      <c r="H37" s="1195" t="s">
        <v>350</v>
      </c>
      <c r="I37" s="1195"/>
      <c r="J37" s="1195"/>
      <c r="K37" s="1195"/>
      <c r="L37" s="1195"/>
      <c r="M37" s="172"/>
    </row>
    <row r="38" spans="1:12" ht="22.5" customHeight="1">
      <c r="A38" s="98"/>
      <c r="B38" s="169"/>
      <c r="C38" s="169"/>
      <c r="D38" s="169"/>
      <c r="E38" s="169"/>
      <c r="F38" s="169"/>
      <c r="G38" s="169"/>
      <c r="H38" s="169"/>
      <c r="I38" s="169"/>
      <c r="J38" s="169"/>
      <c r="K38" s="98"/>
      <c r="L38" s="98"/>
    </row>
    <row r="39" spans="1:12" ht="19.5">
      <c r="A39" s="173" t="s">
        <v>46</v>
      </c>
      <c r="B39" s="169"/>
      <c r="C39" s="169"/>
      <c r="D39" s="169"/>
      <c r="E39" s="169"/>
      <c r="F39" s="169"/>
      <c r="G39" s="169"/>
      <c r="H39" s="169"/>
      <c r="I39" s="169"/>
      <c r="J39" s="169"/>
      <c r="K39" s="98"/>
      <c r="L39" s="98"/>
    </row>
    <row r="40" spans="2:12" ht="15.75" customHeight="1">
      <c r="B40" s="1290" t="s">
        <v>58</v>
      </c>
      <c r="C40" s="1290"/>
      <c r="D40" s="1290"/>
      <c r="E40" s="1290"/>
      <c r="F40" s="1290"/>
      <c r="G40" s="1290"/>
      <c r="H40" s="1290"/>
      <c r="I40" s="1290"/>
      <c r="J40" s="1290"/>
      <c r="K40" s="1290"/>
      <c r="L40" s="1290"/>
    </row>
    <row r="41" spans="1:12" ht="16.5" customHeight="1">
      <c r="A41" s="174"/>
      <c r="B41" s="1289" t="s">
        <v>60</v>
      </c>
      <c r="C41" s="1289"/>
      <c r="D41" s="1289"/>
      <c r="E41" s="1289"/>
      <c r="F41" s="1289"/>
      <c r="G41" s="1289"/>
      <c r="H41" s="1289"/>
      <c r="I41" s="1289"/>
      <c r="J41" s="1289"/>
      <c r="K41" s="1289"/>
      <c r="L41" s="1289"/>
    </row>
    <row r="42" ht="15.75">
      <c r="B42" s="47" t="s">
        <v>59</v>
      </c>
    </row>
  </sheetData>
  <sheetProtection/>
  <mergeCells count="38">
    <mergeCell ref="N6:N10"/>
    <mergeCell ref="C6:C10"/>
    <mergeCell ref="E9:E10"/>
    <mergeCell ref="D6:I6"/>
    <mergeCell ref="E8:I8"/>
    <mergeCell ref="J6:L8"/>
    <mergeCell ref="D7:I7"/>
    <mergeCell ref="M6:M10"/>
    <mergeCell ref="B32:D32"/>
    <mergeCell ref="A13:B13"/>
    <mergeCell ref="I32:K32"/>
    <mergeCell ref="A1:C1"/>
    <mergeCell ref="A2:C2"/>
    <mergeCell ref="A3:C3"/>
    <mergeCell ref="D1:I3"/>
    <mergeCell ref="J1:L1"/>
    <mergeCell ref="J2:L2"/>
    <mergeCell ref="J3:L3"/>
    <mergeCell ref="A4:C4"/>
    <mergeCell ref="D8:D10"/>
    <mergeCell ref="F9:I9"/>
    <mergeCell ref="B41:L41"/>
    <mergeCell ref="B40:L40"/>
    <mergeCell ref="A14:B14"/>
    <mergeCell ref="A11:B11"/>
    <mergeCell ref="A29:D30"/>
    <mergeCell ref="H37:L37"/>
    <mergeCell ref="A37:D37"/>
    <mergeCell ref="J4:L4"/>
    <mergeCell ref="A6:B10"/>
    <mergeCell ref="A12:B12"/>
    <mergeCell ref="A31:D31"/>
    <mergeCell ref="H29:L29"/>
    <mergeCell ref="H30:L30"/>
    <mergeCell ref="H31:L31"/>
    <mergeCell ref="J5:L5"/>
    <mergeCell ref="D4:I4"/>
    <mergeCell ref="J9:L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339" t="s">
        <v>227</v>
      </c>
      <c r="B1" s="1339"/>
      <c r="C1" s="1339"/>
      <c r="D1" s="1335" t="s">
        <v>419</v>
      </c>
      <c r="E1" s="1336"/>
      <c r="F1" s="1336"/>
      <c r="G1" s="1336"/>
      <c r="H1" s="1336"/>
      <c r="I1" s="1336"/>
      <c r="J1" s="1336"/>
      <c r="K1" s="1336"/>
      <c r="L1" s="1336"/>
      <c r="M1" s="1336"/>
      <c r="N1" s="1336"/>
      <c r="O1" s="221"/>
      <c r="P1" s="178" t="s">
        <v>469</v>
      </c>
      <c r="Q1" s="177"/>
      <c r="R1" s="177"/>
      <c r="S1" s="177"/>
      <c r="T1" s="177"/>
      <c r="U1" s="221"/>
    </row>
    <row r="2" spans="1:21" ht="16.5" customHeight="1">
      <c r="A2" s="1337" t="s">
        <v>420</v>
      </c>
      <c r="B2" s="1337"/>
      <c r="C2" s="1337"/>
      <c r="D2" s="1336"/>
      <c r="E2" s="1336"/>
      <c r="F2" s="1336"/>
      <c r="G2" s="1336"/>
      <c r="H2" s="1336"/>
      <c r="I2" s="1336"/>
      <c r="J2" s="1336"/>
      <c r="K2" s="1336"/>
      <c r="L2" s="1336"/>
      <c r="M2" s="1336"/>
      <c r="N2" s="1336"/>
      <c r="O2" s="222"/>
      <c r="P2" s="1328" t="s">
        <v>421</v>
      </c>
      <c r="Q2" s="1328"/>
      <c r="R2" s="1328"/>
      <c r="S2" s="1328"/>
      <c r="T2" s="1328"/>
      <c r="U2" s="222"/>
    </row>
    <row r="3" spans="1:21" ht="16.5" customHeight="1">
      <c r="A3" s="1308" t="s">
        <v>422</v>
      </c>
      <c r="B3" s="1308"/>
      <c r="C3" s="1308"/>
      <c r="D3" s="1340" t="s">
        <v>423</v>
      </c>
      <c r="E3" s="1340"/>
      <c r="F3" s="1340"/>
      <c r="G3" s="1340"/>
      <c r="H3" s="1340"/>
      <c r="I3" s="1340"/>
      <c r="J3" s="1340"/>
      <c r="K3" s="1340"/>
      <c r="L3" s="1340"/>
      <c r="M3" s="1340"/>
      <c r="N3" s="1340"/>
      <c r="O3" s="222"/>
      <c r="P3" s="182" t="s">
        <v>468</v>
      </c>
      <c r="Q3" s="222"/>
      <c r="R3" s="222"/>
      <c r="S3" s="222"/>
      <c r="T3" s="222"/>
      <c r="U3" s="222"/>
    </row>
    <row r="4" spans="1:21" ht="16.5" customHeight="1">
      <c r="A4" s="1341" t="s">
        <v>362</v>
      </c>
      <c r="B4" s="1341"/>
      <c r="C4" s="1341"/>
      <c r="D4" s="1317"/>
      <c r="E4" s="1317"/>
      <c r="F4" s="1317"/>
      <c r="G4" s="1317"/>
      <c r="H4" s="1317"/>
      <c r="I4" s="1317"/>
      <c r="J4" s="1317"/>
      <c r="K4" s="1317"/>
      <c r="L4" s="1317"/>
      <c r="M4" s="1317"/>
      <c r="N4" s="1317"/>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329" t="s">
        <v>71</v>
      </c>
      <c r="B6" s="1330"/>
      <c r="C6" s="1313" t="s">
        <v>228</v>
      </c>
      <c r="D6" s="1338" t="s">
        <v>229</v>
      </c>
      <c r="E6" s="1312"/>
      <c r="F6" s="1312"/>
      <c r="G6" s="1312"/>
      <c r="H6" s="1312"/>
      <c r="I6" s="1312"/>
      <c r="J6" s="1312"/>
      <c r="K6" s="1312"/>
      <c r="L6" s="1312"/>
      <c r="M6" s="1312"/>
      <c r="N6" s="1312"/>
      <c r="O6" s="1312"/>
      <c r="P6" s="1312"/>
      <c r="Q6" s="1312"/>
      <c r="R6" s="1312"/>
      <c r="S6" s="1312"/>
      <c r="T6" s="1313" t="s">
        <v>230</v>
      </c>
      <c r="U6" s="225"/>
    </row>
    <row r="7" spans="1:20" s="227" customFormat="1" ht="12.75" customHeight="1">
      <c r="A7" s="1331"/>
      <c r="B7" s="1332"/>
      <c r="C7" s="1313"/>
      <c r="D7" s="1314" t="s">
        <v>225</v>
      </c>
      <c r="E7" s="1312" t="s">
        <v>7</v>
      </c>
      <c r="F7" s="1312"/>
      <c r="G7" s="1312"/>
      <c r="H7" s="1312"/>
      <c r="I7" s="1312"/>
      <c r="J7" s="1312"/>
      <c r="K7" s="1312"/>
      <c r="L7" s="1312"/>
      <c r="M7" s="1312"/>
      <c r="N7" s="1312"/>
      <c r="O7" s="1312"/>
      <c r="P7" s="1312"/>
      <c r="Q7" s="1312"/>
      <c r="R7" s="1312"/>
      <c r="S7" s="1312"/>
      <c r="T7" s="1313"/>
    </row>
    <row r="8" spans="1:21" s="227" customFormat="1" ht="43.5" customHeight="1">
      <c r="A8" s="1331"/>
      <c r="B8" s="1332"/>
      <c r="C8" s="1313"/>
      <c r="D8" s="1315"/>
      <c r="E8" s="1345" t="s">
        <v>231</v>
      </c>
      <c r="F8" s="1313"/>
      <c r="G8" s="1313"/>
      <c r="H8" s="1313" t="s">
        <v>232</v>
      </c>
      <c r="I8" s="1313"/>
      <c r="J8" s="1313"/>
      <c r="K8" s="1313" t="s">
        <v>233</v>
      </c>
      <c r="L8" s="1313"/>
      <c r="M8" s="1313" t="s">
        <v>234</v>
      </c>
      <c r="N8" s="1313"/>
      <c r="O8" s="1313"/>
      <c r="P8" s="1313" t="s">
        <v>235</v>
      </c>
      <c r="Q8" s="1313" t="s">
        <v>236</v>
      </c>
      <c r="R8" s="1313" t="s">
        <v>237</v>
      </c>
      <c r="S8" s="1342" t="s">
        <v>238</v>
      </c>
      <c r="T8" s="1313"/>
      <c r="U8" s="1305" t="s">
        <v>425</v>
      </c>
    </row>
    <row r="9" spans="1:21" s="227" customFormat="1" ht="44.25" customHeight="1">
      <c r="A9" s="1333"/>
      <c r="B9" s="1334"/>
      <c r="C9" s="1313"/>
      <c r="D9" s="1316"/>
      <c r="E9" s="228" t="s">
        <v>239</v>
      </c>
      <c r="F9" s="224" t="s">
        <v>240</v>
      </c>
      <c r="G9" s="224" t="s">
        <v>426</v>
      </c>
      <c r="H9" s="224" t="s">
        <v>241</v>
      </c>
      <c r="I9" s="224" t="s">
        <v>242</v>
      </c>
      <c r="J9" s="224" t="s">
        <v>243</v>
      </c>
      <c r="K9" s="224" t="s">
        <v>240</v>
      </c>
      <c r="L9" s="224" t="s">
        <v>244</v>
      </c>
      <c r="M9" s="224" t="s">
        <v>245</v>
      </c>
      <c r="N9" s="224" t="s">
        <v>246</v>
      </c>
      <c r="O9" s="224" t="s">
        <v>427</v>
      </c>
      <c r="P9" s="1313"/>
      <c r="Q9" s="1313"/>
      <c r="R9" s="1313"/>
      <c r="S9" s="1342"/>
      <c r="T9" s="1313"/>
      <c r="U9" s="1306"/>
    </row>
    <row r="10" spans="1:21" s="231" customFormat="1" ht="15.75" customHeight="1">
      <c r="A10" s="1309" t="s">
        <v>6</v>
      </c>
      <c r="B10" s="1310"/>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06"/>
    </row>
    <row r="11" spans="1:21" s="231" customFormat="1" ht="15.75" customHeight="1">
      <c r="A11" s="1343" t="s">
        <v>405</v>
      </c>
      <c r="B11" s="1344"/>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07"/>
    </row>
    <row r="12" spans="1:21" s="231" customFormat="1" ht="15.75" customHeight="1">
      <c r="A12" s="1319" t="s">
        <v>406</v>
      </c>
      <c r="B12" s="1320"/>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25" t="s">
        <v>36</v>
      </c>
      <c r="B13" s="1326"/>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97</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18</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51</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52</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57</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72</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73</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74</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75</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76</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77</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100</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101</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11" t="s">
        <v>393</v>
      </c>
      <c r="C28" s="1311"/>
      <c r="D28" s="1311"/>
      <c r="E28" s="1311"/>
      <c r="F28" s="190"/>
      <c r="G28" s="190"/>
      <c r="H28" s="190"/>
      <c r="I28" s="190"/>
      <c r="J28" s="190"/>
      <c r="K28" s="190" t="s">
        <v>247</v>
      </c>
      <c r="L28" s="191"/>
      <c r="M28" s="1318" t="s">
        <v>428</v>
      </c>
      <c r="N28" s="1318"/>
      <c r="O28" s="1318"/>
      <c r="P28" s="1318"/>
      <c r="Q28" s="1318"/>
      <c r="R28" s="1318"/>
      <c r="S28" s="1318"/>
      <c r="T28" s="1318"/>
    </row>
    <row r="29" spans="1:20" s="242" customFormat="1" ht="18.75" customHeight="1">
      <c r="A29" s="241"/>
      <c r="B29" s="1324" t="s">
        <v>248</v>
      </c>
      <c r="C29" s="1324"/>
      <c r="D29" s="1324"/>
      <c r="E29" s="243"/>
      <c r="F29" s="192"/>
      <c r="G29" s="192"/>
      <c r="H29" s="192"/>
      <c r="I29" s="192"/>
      <c r="J29" s="192"/>
      <c r="K29" s="192"/>
      <c r="L29" s="191"/>
      <c r="M29" s="1327" t="s">
        <v>417</v>
      </c>
      <c r="N29" s="1327"/>
      <c r="O29" s="1327"/>
      <c r="P29" s="1327"/>
      <c r="Q29" s="1327"/>
      <c r="R29" s="1327"/>
      <c r="S29" s="1327"/>
      <c r="T29" s="1327"/>
    </row>
    <row r="30" spans="1:20" s="242" customFormat="1" ht="18.75">
      <c r="A30" s="193"/>
      <c r="B30" s="1321"/>
      <c r="C30" s="1321"/>
      <c r="D30" s="1321"/>
      <c r="E30" s="195"/>
      <c r="F30" s="195"/>
      <c r="G30" s="195"/>
      <c r="H30" s="195"/>
      <c r="I30" s="195"/>
      <c r="J30" s="195"/>
      <c r="K30" s="195"/>
      <c r="L30" s="195"/>
      <c r="M30" s="1322"/>
      <c r="N30" s="1322"/>
      <c r="O30" s="1322"/>
      <c r="P30" s="1322"/>
      <c r="Q30" s="1322"/>
      <c r="R30" s="1322"/>
      <c r="S30" s="1322"/>
      <c r="T30" s="1322"/>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250</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251</v>
      </c>
      <c r="C34" s="195"/>
      <c r="D34" s="195"/>
      <c r="E34" s="195"/>
      <c r="F34" s="195"/>
      <c r="G34" s="195"/>
      <c r="H34" s="195"/>
      <c r="I34" s="195"/>
      <c r="J34" s="195"/>
      <c r="K34" s="195"/>
      <c r="L34" s="195"/>
      <c r="M34" s="195"/>
      <c r="N34" s="195"/>
      <c r="O34" s="195"/>
      <c r="P34" s="195"/>
      <c r="Q34" s="195"/>
      <c r="R34" s="195"/>
      <c r="S34" s="195"/>
      <c r="T34" s="195"/>
    </row>
    <row r="35" spans="2:20" ht="18.75" hidden="1">
      <c r="B35" s="245" t="s">
        <v>252</v>
      </c>
      <c r="C35" s="195"/>
      <c r="D35" s="195"/>
      <c r="E35" s="195"/>
      <c r="F35" s="195"/>
      <c r="G35" s="195"/>
      <c r="H35" s="195"/>
      <c r="I35" s="195"/>
      <c r="J35" s="195"/>
      <c r="K35" s="195"/>
      <c r="L35" s="195"/>
      <c r="M35" s="195"/>
      <c r="N35" s="195"/>
      <c r="O35" s="195"/>
      <c r="P35" s="195"/>
      <c r="Q35" s="195"/>
      <c r="R35" s="195"/>
      <c r="S35" s="195"/>
      <c r="T35" s="195"/>
    </row>
    <row r="36" spans="2:20" s="220" customFormat="1" ht="18.75">
      <c r="B36" s="1323" t="s">
        <v>397</v>
      </c>
      <c r="C36" s="1323"/>
      <c r="D36" s="1323"/>
      <c r="E36" s="245"/>
      <c r="F36" s="245"/>
      <c r="G36" s="245"/>
      <c r="H36" s="245"/>
      <c r="I36" s="245"/>
      <c r="J36" s="245"/>
      <c r="K36" s="245"/>
      <c r="L36" s="245"/>
      <c r="M36" s="245"/>
      <c r="N36" s="1323" t="s">
        <v>397</v>
      </c>
      <c r="O36" s="1323"/>
      <c r="P36" s="1323"/>
      <c r="Q36" s="1323"/>
      <c r="R36" s="1323"/>
      <c r="S36" s="1323"/>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194" t="s">
        <v>350</v>
      </c>
      <c r="C38" s="1194"/>
      <c r="D38" s="1194"/>
      <c r="E38" s="219"/>
      <c r="F38" s="219"/>
      <c r="G38" s="219"/>
      <c r="H38" s="219"/>
      <c r="I38" s="191"/>
      <c r="J38" s="191"/>
      <c r="K38" s="191"/>
      <c r="L38" s="191"/>
      <c r="M38" s="1195" t="s">
        <v>351</v>
      </c>
      <c r="N38" s="1195"/>
      <c r="O38" s="1195"/>
      <c r="P38" s="1195"/>
      <c r="Q38" s="1195"/>
      <c r="R38" s="1195"/>
      <c r="S38" s="1195"/>
      <c r="T38" s="1195"/>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369" t="s">
        <v>253</v>
      </c>
      <c r="B1" s="1369"/>
      <c r="C1" s="1369"/>
      <c r="D1" s="247"/>
      <c r="E1" s="1374" t="s">
        <v>254</v>
      </c>
      <c r="F1" s="1374"/>
      <c r="G1" s="1374"/>
      <c r="H1" s="1374"/>
      <c r="I1" s="1374"/>
      <c r="J1" s="1374"/>
      <c r="K1" s="1374"/>
      <c r="L1" s="1374"/>
      <c r="M1" s="1374"/>
      <c r="N1" s="1374"/>
      <c r="O1" s="200"/>
      <c r="P1" s="1383" t="s">
        <v>467</v>
      </c>
      <c r="Q1" s="1383"/>
      <c r="R1" s="1383"/>
      <c r="S1" s="1383"/>
      <c r="T1" s="1383"/>
    </row>
    <row r="2" spans="1:20" ht="15.75" customHeight="1">
      <c r="A2" s="1370" t="s">
        <v>429</v>
      </c>
      <c r="B2" s="1370"/>
      <c r="C2" s="1370"/>
      <c r="D2" s="1370"/>
      <c r="E2" s="1372" t="s">
        <v>255</v>
      </c>
      <c r="F2" s="1372"/>
      <c r="G2" s="1372"/>
      <c r="H2" s="1372"/>
      <c r="I2" s="1372"/>
      <c r="J2" s="1372"/>
      <c r="K2" s="1372"/>
      <c r="L2" s="1372"/>
      <c r="M2" s="1372"/>
      <c r="N2" s="1372"/>
      <c r="O2" s="203"/>
      <c r="P2" s="1386" t="s">
        <v>409</v>
      </c>
      <c r="Q2" s="1386"/>
      <c r="R2" s="1386"/>
      <c r="S2" s="1386"/>
      <c r="T2" s="1386"/>
    </row>
    <row r="3" spans="1:20" ht="17.25">
      <c r="A3" s="1370" t="s">
        <v>360</v>
      </c>
      <c r="B3" s="1370"/>
      <c r="C3" s="1370"/>
      <c r="D3" s="248"/>
      <c r="E3" s="1375" t="s">
        <v>361</v>
      </c>
      <c r="F3" s="1375"/>
      <c r="G3" s="1375"/>
      <c r="H3" s="1375"/>
      <c r="I3" s="1375"/>
      <c r="J3" s="1375"/>
      <c r="K3" s="1375"/>
      <c r="L3" s="1375"/>
      <c r="M3" s="1375"/>
      <c r="N3" s="1375"/>
      <c r="O3" s="203"/>
      <c r="P3" s="1387" t="s">
        <v>468</v>
      </c>
      <c r="Q3" s="1387"/>
      <c r="R3" s="1387"/>
      <c r="S3" s="1387"/>
      <c r="T3" s="1387"/>
    </row>
    <row r="4" spans="1:20" ht="18.75" customHeight="1">
      <c r="A4" s="1371" t="s">
        <v>362</v>
      </c>
      <c r="B4" s="1371"/>
      <c r="C4" s="1371"/>
      <c r="D4" s="1373"/>
      <c r="E4" s="1373"/>
      <c r="F4" s="1373"/>
      <c r="G4" s="1373"/>
      <c r="H4" s="1373"/>
      <c r="I4" s="1373"/>
      <c r="J4" s="1373"/>
      <c r="K4" s="1373"/>
      <c r="L4" s="1373"/>
      <c r="M4" s="1373"/>
      <c r="N4" s="1373"/>
      <c r="O4" s="204"/>
      <c r="P4" s="1386" t="s">
        <v>401</v>
      </c>
      <c r="Q4" s="1387"/>
      <c r="R4" s="1387"/>
      <c r="S4" s="1387"/>
      <c r="T4" s="1387"/>
    </row>
    <row r="5" spans="1:23" ht="15">
      <c r="A5" s="217"/>
      <c r="B5" s="217"/>
      <c r="C5" s="249"/>
      <c r="D5" s="249"/>
      <c r="E5" s="217"/>
      <c r="F5" s="217"/>
      <c r="G5" s="217"/>
      <c r="H5" s="217"/>
      <c r="I5" s="217"/>
      <c r="J5" s="217"/>
      <c r="K5" s="217"/>
      <c r="L5" s="217"/>
      <c r="P5" s="1382" t="s">
        <v>424</v>
      </c>
      <c r="Q5" s="1382"/>
      <c r="R5" s="1382"/>
      <c r="S5" s="1382"/>
      <c r="T5" s="1382"/>
      <c r="U5" s="250"/>
      <c r="V5" s="250"/>
      <c r="W5" s="250"/>
    </row>
    <row r="6" spans="1:23" ht="29.25" customHeight="1">
      <c r="A6" s="1329" t="s">
        <v>71</v>
      </c>
      <c r="B6" s="1356"/>
      <c r="C6" s="1349" t="s">
        <v>2</v>
      </c>
      <c r="D6" s="1388" t="s">
        <v>256</v>
      </c>
      <c r="E6" s="1359"/>
      <c r="F6" s="1359"/>
      <c r="G6" s="1359"/>
      <c r="H6" s="1359"/>
      <c r="I6" s="1359"/>
      <c r="J6" s="1360"/>
      <c r="K6" s="1376" t="s">
        <v>257</v>
      </c>
      <c r="L6" s="1377"/>
      <c r="M6" s="1377"/>
      <c r="N6" s="1377"/>
      <c r="O6" s="1377"/>
      <c r="P6" s="1377"/>
      <c r="Q6" s="1377"/>
      <c r="R6" s="1377"/>
      <c r="S6" s="1377"/>
      <c r="T6" s="1378"/>
      <c r="U6" s="251"/>
      <c r="V6" s="252"/>
      <c r="W6" s="252"/>
    </row>
    <row r="7" spans="1:20" ht="19.5" customHeight="1">
      <c r="A7" s="1331"/>
      <c r="B7" s="1357"/>
      <c r="C7" s="1350"/>
      <c r="D7" s="1359" t="s">
        <v>7</v>
      </c>
      <c r="E7" s="1359"/>
      <c r="F7" s="1359"/>
      <c r="G7" s="1359"/>
      <c r="H7" s="1359"/>
      <c r="I7" s="1359"/>
      <c r="J7" s="1360"/>
      <c r="K7" s="1379"/>
      <c r="L7" s="1380"/>
      <c r="M7" s="1380"/>
      <c r="N7" s="1380"/>
      <c r="O7" s="1380"/>
      <c r="P7" s="1380"/>
      <c r="Q7" s="1380"/>
      <c r="R7" s="1380"/>
      <c r="S7" s="1380"/>
      <c r="T7" s="1381"/>
    </row>
    <row r="8" spans="1:20" ht="33" customHeight="1">
      <c r="A8" s="1331"/>
      <c r="B8" s="1357"/>
      <c r="C8" s="1350"/>
      <c r="D8" s="1348" t="s">
        <v>258</v>
      </c>
      <c r="E8" s="1355"/>
      <c r="F8" s="1352" t="s">
        <v>259</v>
      </c>
      <c r="G8" s="1355"/>
      <c r="H8" s="1352" t="s">
        <v>260</v>
      </c>
      <c r="I8" s="1355"/>
      <c r="J8" s="1352" t="s">
        <v>261</v>
      </c>
      <c r="K8" s="1385" t="s">
        <v>262</v>
      </c>
      <c r="L8" s="1385"/>
      <c r="M8" s="1385"/>
      <c r="N8" s="1385" t="s">
        <v>263</v>
      </c>
      <c r="O8" s="1385"/>
      <c r="P8" s="1385"/>
      <c r="Q8" s="1352" t="s">
        <v>264</v>
      </c>
      <c r="R8" s="1384" t="s">
        <v>265</v>
      </c>
      <c r="S8" s="1384" t="s">
        <v>266</v>
      </c>
      <c r="T8" s="1352" t="s">
        <v>267</v>
      </c>
    </row>
    <row r="9" spans="1:20" ht="18.75" customHeight="1">
      <c r="A9" s="1331"/>
      <c r="B9" s="1357"/>
      <c r="C9" s="1350"/>
      <c r="D9" s="1348" t="s">
        <v>268</v>
      </c>
      <c r="E9" s="1352" t="s">
        <v>269</v>
      </c>
      <c r="F9" s="1352" t="s">
        <v>268</v>
      </c>
      <c r="G9" s="1352" t="s">
        <v>269</v>
      </c>
      <c r="H9" s="1352" t="s">
        <v>268</v>
      </c>
      <c r="I9" s="1352" t="s">
        <v>270</v>
      </c>
      <c r="J9" s="1352"/>
      <c r="K9" s="1385"/>
      <c r="L9" s="1385"/>
      <c r="M9" s="1385"/>
      <c r="N9" s="1385"/>
      <c r="O9" s="1385"/>
      <c r="P9" s="1385"/>
      <c r="Q9" s="1352"/>
      <c r="R9" s="1384"/>
      <c r="S9" s="1384"/>
      <c r="T9" s="1352"/>
    </row>
    <row r="10" spans="1:20" ht="23.25" customHeight="1">
      <c r="A10" s="1333"/>
      <c r="B10" s="1358"/>
      <c r="C10" s="1351"/>
      <c r="D10" s="1348"/>
      <c r="E10" s="1352"/>
      <c r="F10" s="1352"/>
      <c r="G10" s="1352"/>
      <c r="H10" s="1352"/>
      <c r="I10" s="1352"/>
      <c r="J10" s="1352"/>
      <c r="K10" s="253" t="s">
        <v>271</v>
      </c>
      <c r="L10" s="253" t="s">
        <v>246</v>
      </c>
      <c r="M10" s="253" t="s">
        <v>272</v>
      </c>
      <c r="N10" s="253" t="s">
        <v>271</v>
      </c>
      <c r="O10" s="253" t="s">
        <v>273</v>
      </c>
      <c r="P10" s="253" t="s">
        <v>274</v>
      </c>
      <c r="Q10" s="1352"/>
      <c r="R10" s="1384"/>
      <c r="S10" s="1384"/>
      <c r="T10" s="1352"/>
    </row>
    <row r="11" spans="1:32" s="210" customFormat="1" ht="17.25" customHeight="1">
      <c r="A11" s="1353" t="s">
        <v>6</v>
      </c>
      <c r="B11" s="1354"/>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61" t="s">
        <v>430</v>
      </c>
      <c r="B12" s="1362"/>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66" t="s">
        <v>406</v>
      </c>
      <c r="B13" s="1367"/>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47" t="s">
        <v>275</v>
      </c>
      <c r="B14" s="1348"/>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97</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18</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364" t="s">
        <v>418</v>
      </c>
      <c r="C29" s="1364"/>
      <c r="D29" s="1364"/>
      <c r="E29" s="1364"/>
      <c r="F29" s="267"/>
      <c r="G29" s="267"/>
      <c r="H29" s="267"/>
      <c r="I29" s="267"/>
      <c r="J29" s="267"/>
      <c r="K29" s="267"/>
      <c r="L29" s="215"/>
      <c r="M29" s="1363" t="s">
        <v>431</v>
      </c>
      <c r="N29" s="1363"/>
      <c r="O29" s="1363"/>
      <c r="P29" s="1363"/>
      <c r="Q29" s="1363"/>
      <c r="R29" s="1363"/>
      <c r="S29" s="1363"/>
      <c r="T29" s="1363"/>
    </row>
    <row r="30" spans="1:20" ht="18.75" customHeight="1">
      <c r="A30" s="211"/>
      <c r="B30" s="1365" t="s">
        <v>248</v>
      </c>
      <c r="C30" s="1365"/>
      <c r="D30" s="1365"/>
      <c r="E30" s="1365"/>
      <c r="F30" s="214"/>
      <c r="G30" s="214"/>
      <c r="H30" s="214"/>
      <c r="I30" s="214"/>
      <c r="J30" s="214"/>
      <c r="K30" s="214"/>
      <c r="L30" s="215"/>
      <c r="M30" s="1368" t="s">
        <v>249</v>
      </c>
      <c r="N30" s="1368"/>
      <c r="O30" s="1368"/>
      <c r="P30" s="1368"/>
      <c r="Q30" s="1368"/>
      <c r="R30" s="1368"/>
      <c r="S30" s="1368"/>
      <c r="T30" s="1368"/>
    </row>
    <row r="31" spans="1:20" ht="18.75">
      <c r="A31" s="217"/>
      <c r="B31" s="1321"/>
      <c r="C31" s="1321"/>
      <c r="D31" s="1321"/>
      <c r="E31" s="1321"/>
      <c r="F31" s="218"/>
      <c r="G31" s="218"/>
      <c r="H31" s="218"/>
      <c r="I31" s="218"/>
      <c r="J31" s="218"/>
      <c r="K31" s="218"/>
      <c r="L31" s="218"/>
      <c r="M31" s="1322"/>
      <c r="N31" s="1322"/>
      <c r="O31" s="1322"/>
      <c r="P31" s="1322"/>
      <c r="Q31" s="1322"/>
      <c r="R31" s="1322"/>
      <c r="S31" s="1322"/>
      <c r="T31" s="1322"/>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46" t="s">
        <v>397</v>
      </c>
      <c r="C33" s="1346"/>
      <c r="D33" s="1346"/>
      <c r="E33" s="1346"/>
      <c r="F33" s="1346"/>
      <c r="G33" s="268"/>
      <c r="H33" s="268"/>
      <c r="I33" s="268"/>
      <c r="J33" s="268"/>
      <c r="K33" s="268"/>
      <c r="L33" s="268"/>
      <c r="M33" s="268"/>
      <c r="N33" s="1346" t="s">
        <v>397</v>
      </c>
      <c r="O33" s="1346"/>
      <c r="P33" s="1346"/>
      <c r="Q33" s="1346"/>
      <c r="R33" s="1346"/>
      <c r="S33" s="1346"/>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194" t="s">
        <v>350</v>
      </c>
      <c r="C35" s="1194"/>
      <c r="D35" s="1194"/>
      <c r="E35" s="1194"/>
      <c r="F35" s="219"/>
      <c r="G35" s="219"/>
      <c r="H35" s="219"/>
      <c r="I35" s="191"/>
      <c r="J35" s="191"/>
      <c r="K35" s="191"/>
      <c r="L35" s="191"/>
      <c r="M35" s="1195" t="s">
        <v>351</v>
      </c>
      <c r="N35" s="1195"/>
      <c r="O35" s="1195"/>
      <c r="P35" s="1195"/>
      <c r="Q35" s="1195"/>
      <c r="R35" s="1195"/>
      <c r="S35" s="1195"/>
      <c r="T35" s="1195"/>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224</v>
      </c>
    </row>
    <row r="39" spans="2:8" s="271" customFormat="1" ht="15" hidden="1">
      <c r="B39" s="272" t="s">
        <v>276</v>
      </c>
      <c r="C39" s="272"/>
      <c r="D39" s="272"/>
      <c r="E39" s="272"/>
      <c r="F39" s="272"/>
      <c r="G39" s="272"/>
      <c r="H39" s="272"/>
    </row>
    <row r="40" spans="2:8" s="273" customFormat="1" ht="15" hidden="1">
      <c r="B40" s="272" t="s">
        <v>277</v>
      </c>
      <c r="C40" s="198"/>
      <c r="D40" s="198"/>
      <c r="E40" s="198"/>
      <c r="F40" s="198"/>
      <c r="G40" s="198"/>
      <c r="H40" s="198"/>
    </row>
    <row r="41" ht="12.75" hidden="1"/>
    <row r="42" ht="12.75" hidden="1"/>
    <row r="43" ht="12.75" hidden="1"/>
    <row r="44" ht="12.75" hidden="1"/>
    <row r="45" ht="12.75" hidden="1"/>
  </sheetData>
  <sheetProtection/>
  <mergeCells count="48">
    <mergeCell ref="D6:J6"/>
    <mergeCell ref="D9:D10"/>
    <mergeCell ref="F8:G8"/>
    <mergeCell ref="K8:M9"/>
    <mergeCell ref="J8:J10"/>
    <mergeCell ref="H9:H10"/>
    <mergeCell ref="G9:G10"/>
    <mergeCell ref="I9:I10"/>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92" t="s">
        <v>278</v>
      </c>
      <c r="B1" s="1392"/>
      <c r="C1" s="1392"/>
      <c r="D1" s="1395" t="s">
        <v>470</v>
      </c>
      <c r="E1" s="1395"/>
      <c r="F1" s="1395"/>
      <c r="G1" s="1395"/>
      <c r="H1" s="1395"/>
      <c r="I1" s="1395"/>
      <c r="J1" s="1396" t="s">
        <v>471</v>
      </c>
      <c r="K1" s="1397"/>
      <c r="L1" s="1397"/>
    </row>
    <row r="2" spans="1:12" ht="34.5" customHeight="1">
      <c r="A2" s="1398" t="s">
        <v>432</v>
      </c>
      <c r="B2" s="1398"/>
      <c r="C2" s="1398"/>
      <c r="D2" s="1395"/>
      <c r="E2" s="1395"/>
      <c r="F2" s="1395"/>
      <c r="G2" s="1395"/>
      <c r="H2" s="1395"/>
      <c r="I2" s="1395"/>
      <c r="J2" s="1399" t="s">
        <v>472</v>
      </c>
      <c r="K2" s="1400"/>
      <c r="L2" s="1400"/>
    </row>
    <row r="3" spans="1:12" ht="15" customHeight="1">
      <c r="A3" s="274" t="s">
        <v>362</v>
      </c>
      <c r="B3" s="183"/>
      <c r="C3" s="1401"/>
      <c r="D3" s="1401"/>
      <c r="E3" s="1401"/>
      <c r="F3" s="1401"/>
      <c r="G3" s="1401"/>
      <c r="H3" s="1401"/>
      <c r="I3" s="1401"/>
      <c r="J3" s="1393"/>
      <c r="K3" s="1394"/>
      <c r="L3" s="1394"/>
    </row>
    <row r="4" spans="1:12" ht="15.75" customHeight="1">
      <c r="A4" s="275"/>
      <c r="B4" s="275"/>
      <c r="C4" s="276"/>
      <c r="D4" s="276"/>
      <c r="E4" s="179"/>
      <c r="F4" s="179"/>
      <c r="G4" s="179"/>
      <c r="H4" s="277"/>
      <c r="I4" s="277"/>
      <c r="J4" s="1389" t="s">
        <v>279</v>
      </c>
      <c r="K4" s="1389"/>
      <c r="L4" s="1389"/>
    </row>
    <row r="5" spans="1:12" s="278" customFormat="1" ht="28.5" customHeight="1">
      <c r="A5" s="1403" t="s">
        <v>71</v>
      </c>
      <c r="B5" s="1403"/>
      <c r="C5" s="1313" t="s">
        <v>37</v>
      </c>
      <c r="D5" s="1313" t="s">
        <v>280</v>
      </c>
      <c r="E5" s="1313"/>
      <c r="F5" s="1313"/>
      <c r="G5" s="1313"/>
      <c r="H5" s="1313" t="s">
        <v>281</v>
      </c>
      <c r="I5" s="1313"/>
      <c r="J5" s="1313" t="s">
        <v>282</v>
      </c>
      <c r="K5" s="1313"/>
      <c r="L5" s="1313"/>
    </row>
    <row r="6" spans="1:13" s="278" customFormat="1" ht="80.25" customHeight="1">
      <c r="A6" s="1403"/>
      <c r="B6" s="1403"/>
      <c r="C6" s="1313"/>
      <c r="D6" s="224" t="s">
        <v>283</v>
      </c>
      <c r="E6" s="224" t="s">
        <v>284</v>
      </c>
      <c r="F6" s="224" t="s">
        <v>433</v>
      </c>
      <c r="G6" s="224" t="s">
        <v>285</v>
      </c>
      <c r="H6" s="224" t="s">
        <v>286</v>
      </c>
      <c r="I6" s="224" t="s">
        <v>287</v>
      </c>
      <c r="J6" s="224" t="s">
        <v>288</v>
      </c>
      <c r="K6" s="224" t="s">
        <v>289</v>
      </c>
      <c r="L6" s="224" t="s">
        <v>290</v>
      </c>
      <c r="M6" s="279"/>
    </row>
    <row r="7" spans="1:12" s="280" customFormat="1" ht="16.5" customHeight="1">
      <c r="A7" s="1390" t="s">
        <v>6</v>
      </c>
      <c r="B7" s="1390"/>
      <c r="C7" s="230">
        <v>1</v>
      </c>
      <c r="D7" s="230">
        <v>2</v>
      </c>
      <c r="E7" s="230">
        <v>3</v>
      </c>
      <c r="F7" s="230">
        <v>4</v>
      </c>
      <c r="G7" s="230">
        <v>5</v>
      </c>
      <c r="H7" s="230">
        <v>6</v>
      </c>
      <c r="I7" s="230">
        <v>7</v>
      </c>
      <c r="J7" s="230">
        <v>8</v>
      </c>
      <c r="K7" s="230">
        <v>9</v>
      </c>
      <c r="L7" s="230">
        <v>10</v>
      </c>
    </row>
    <row r="8" spans="1:12" s="280" customFormat="1" ht="16.5" customHeight="1">
      <c r="A8" s="1406" t="s">
        <v>430</v>
      </c>
      <c r="B8" s="1407"/>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404" t="s">
        <v>406</v>
      </c>
      <c r="B9" s="1405"/>
      <c r="C9" s="233">
        <v>9</v>
      </c>
      <c r="D9" s="233">
        <v>2</v>
      </c>
      <c r="E9" s="233">
        <v>2</v>
      </c>
      <c r="F9" s="233">
        <v>0</v>
      </c>
      <c r="G9" s="233">
        <v>5</v>
      </c>
      <c r="H9" s="233">
        <v>8</v>
      </c>
      <c r="I9" s="233">
        <v>0</v>
      </c>
      <c r="J9" s="233">
        <v>8</v>
      </c>
      <c r="K9" s="233">
        <v>1</v>
      </c>
      <c r="L9" s="233">
        <v>0</v>
      </c>
    </row>
    <row r="10" spans="1:12" s="280" customFormat="1" ht="16.5" customHeight="1">
      <c r="A10" s="1391" t="s">
        <v>275</v>
      </c>
      <c r="B10" s="1391"/>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291</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18</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311" t="s">
        <v>435</v>
      </c>
      <c r="B25" s="1311"/>
      <c r="C25" s="1311"/>
      <c r="D25" s="1311"/>
      <c r="E25" s="191"/>
      <c r="F25" s="1318" t="s">
        <v>393</v>
      </c>
      <c r="G25" s="1318"/>
      <c r="H25" s="1318"/>
      <c r="I25" s="1318"/>
      <c r="J25" s="1318"/>
      <c r="K25" s="1318"/>
      <c r="L25" s="1318"/>
      <c r="AJ25" s="199" t="s">
        <v>391</v>
      </c>
    </row>
    <row r="26" spans="1:44" ht="15" customHeight="1">
      <c r="A26" s="1324" t="s">
        <v>248</v>
      </c>
      <c r="B26" s="1324"/>
      <c r="C26" s="1324"/>
      <c r="D26" s="1324"/>
      <c r="E26" s="192"/>
      <c r="F26" s="1327" t="s">
        <v>249</v>
      </c>
      <c r="G26" s="1327"/>
      <c r="H26" s="1327"/>
      <c r="I26" s="1327"/>
      <c r="J26" s="1327"/>
      <c r="K26" s="1327"/>
      <c r="L26" s="1327"/>
      <c r="AR26" s="199"/>
    </row>
    <row r="27" spans="1:12" s="179" customFormat="1" ht="18.75">
      <c r="A27" s="1321"/>
      <c r="B27" s="1321"/>
      <c r="C27" s="1321"/>
      <c r="D27" s="1321"/>
      <c r="E27" s="191"/>
      <c r="F27" s="1322"/>
      <c r="G27" s="1322"/>
      <c r="H27" s="1322"/>
      <c r="I27" s="1322"/>
      <c r="J27" s="1322"/>
      <c r="K27" s="1322"/>
      <c r="L27" s="1322"/>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402" t="s">
        <v>397</v>
      </c>
      <c r="C29" s="1402"/>
      <c r="D29" s="191"/>
      <c r="E29" s="191"/>
      <c r="F29" s="191"/>
      <c r="G29" s="191"/>
      <c r="H29" s="1402" t="s">
        <v>397</v>
      </c>
      <c r="I29" s="1402"/>
      <c r="J29" s="1402"/>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292</v>
      </c>
      <c r="B32" s="194"/>
      <c r="C32" s="195"/>
      <c r="D32" s="195"/>
      <c r="E32" s="195"/>
      <c r="F32" s="195"/>
      <c r="G32" s="195"/>
      <c r="H32" s="195"/>
      <c r="I32" s="195"/>
      <c r="J32" s="195"/>
      <c r="K32" s="195"/>
      <c r="L32" s="195"/>
    </row>
    <row r="33" spans="1:12" s="220" customFormat="1" ht="18.75" hidden="1">
      <c r="A33" s="246"/>
      <c r="B33" s="288" t="s">
        <v>293</v>
      </c>
      <c r="C33" s="288"/>
      <c r="D33" s="288"/>
      <c r="E33" s="245"/>
      <c r="F33" s="245"/>
      <c r="G33" s="245"/>
      <c r="H33" s="245"/>
      <c r="I33" s="245"/>
      <c r="J33" s="245"/>
      <c r="K33" s="245"/>
      <c r="L33" s="245"/>
    </row>
    <row r="34" spans="1:12" s="220" customFormat="1" ht="18.75" hidden="1">
      <c r="A34" s="246"/>
      <c r="B34" s="288" t="s">
        <v>294</v>
      </c>
      <c r="C34" s="288"/>
      <c r="D34" s="288"/>
      <c r="E34" s="288"/>
      <c r="F34" s="245"/>
      <c r="G34" s="245"/>
      <c r="H34" s="245"/>
      <c r="I34" s="245"/>
      <c r="J34" s="245"/>
      <c r="K34" s="245"/>
      <c r="L34" s="245"/>
    </row>
    <row r="35" spans="1:12" s="220" customFormat="1" ht="18.75" hidden="1">
      <c r="A35" s="246"/>
      <c r="B35" s="245" t="s">
        <v>295</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194" t="s">
        <v>350</v>
      </c>
      <c r="B37" s="1194"/>
      <c r="C37" s="1194"/>
      <c r="D37" s="1194"/>
      <c r="E37" s="219"/>
      <c r="F37" s="1195" t="s">
        <v>351</v>
      </c>
      <c r="G37" s="1195"/>
      <c r="H37" s="1195"/>
      <c r="I37" s="1195"/>
      <c r="J37" s="1195"/>
      <c r="K37" s="1195"/>
      <c r="L37" s="1195"/>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415" t="s">
        <v>296</v>
      </c>
      <c r="B1" s="1415"/>
      <c r="C1" s="1415"/>
      <c r="D1" s="1395" t="s">
        <v>473</v>
      </c>
      <c r="E1" s="1395"/>
      <c r="F1" s="1395"/>
      <c r="G1" s="1395"/>
      <c r="H1" s="1395"/>
      <c r="I1" s="179"/>
      <c r="J1" s="180" t="s">
        <v>467</v>
      </c>
      <c r="K1" s="289"/>
      <c r="L1" s="289"/>
    </row>
    <row r="2" spans="1:12" ht="15.75" customHeight="1">
      <c r="A2" s="1419" t="s">
        <v>408</v>
      </c>
      <c r="B2" s="1419"/>
      <c r="C2" s="1419"/>
      <c r="D2" s="1395"/>
      <c r="E2" s="1395"/>
      <c r="F2" s="1395"/>
      <c r="G2" s="1395"/>
      <c r="H2" s="1395"/>
      <c r="I2" s="179"/>
      <c r="J2" s="290" t="s">
        <v>409</v>
      </c>
      <c r="K2" s="290"/>
      <c r="L2" s="290"/>
    </row>
    <row r="3" spans="1:12" ht="18.75" customHeight="1">
      <c r="A3" s="1337" t="s">
        <v>360</v>
      </c>
      <c r="B3" s="1337"/>
      <c r="C3" s="1337"/>
      <c r="D3" s="176"/>
      <c r="E3" s="176"/>
      <c r="F3" s="176"/>
      <c r="G3" s="176"/>
      <c r="H3" s="176"/>
      <c r="I3" s="179"/>
      <c r="J3" s="183" t="s">
        <v>466</v>
      </c>
      <c r="K3" s="183"/>
      <c r="L3" s="183"/>
    </row>
    <row r="4" spans="1:12" ht="15.75" customHeight="1">
      <c r="A4" s="1416" t="s">
        <v>436</v>
      </c>
      <c r="B4" s="1416"/>
      <c r="C4" s="1416"/>
      <c r="D4" s="1414"/>
      <c r="E4" s="1414"/>
      <c r="F4" s="1414"/>
      <c r="G4" s="1414"/>
      <c r="H4" s="1414"/>
      <c r="I4" s="179"/>
      <c r="J4" s="291" t="s">
        <v>401</v>
      </c>
      <c r="K4" s="291"/>
      <c r="L4" s="291"/>
    </row>
    <row r="5" spans="1:12" ht="15.75">
      <c r="A5" s="1420"/>
      <c r="B5" s="1420"/>
      <c r="C5" s="175"/>
      <c r="D5" s="179"/>
      <c r="E5" s="179"/>
      <c r="F5" s="179"/>
      <c r="G5" s="179"/>
      <c r="H5" s="292"/>
      <c r="I5" s="1412" t="s">
        <v>437</v>
      </c>
      <c r="J5" s="1412"/>
      <c r="K5" s="1412"/>
      <c r="L5" s="1412"/>
    </row>
    <row r="6" spans="1:12" ht="18.75" customHeight="1">
      <c r="A6" s="1329" t="s">
        <v>71</v>
      </c>
      <c r="B6" s="1330"/>
      <c r="C6" s="1408" t="s">
        <v>297</v>
      </c>
      <c r="D6" s="1325" t="s">
        <v>298</v>
      </c>
      <c r="E6" s="1413"/>
      <c r="F6" s="1326"/>
      <c r="G6" s="1325" t="s">
        <v>299</v>
      </c>
      <c r="H6" s="1413"/>
      <c r="I6" s="1413"/>
      <c r="J6" s="1413"/>
      <c r="K6" s="1413"/>
      <c r="L6" s="1326"/>
    </row>
    <row r="7" spans="1:12" ht="15.75" customHeight="1">
      <c r="A7" s="1331"/>
      <c r="B7" s="1332"/>
      <c r="C7" s="1409"/>
      <c r="D7" s="1325" t="s">
        <v>7</v>
      </c>
      <c r="E7" s="1413"/>
      <c r="F7" s="1326"/>
      <c r="G7" s="1408" t="s">
        <v>36</v>
      </c>
      <c r="H7" s="1325" t="s">
        <v>7</v>
      </c>
      <c r="I7" s="1413"/>
      <c r="J7" s="1413"/>
      <c r="K7" s="1413"/>
      <c r="L7" s="1326"/>
    </row>
    <row r="8" spans="1:12" ht="14.25" customHeight="1">
      <c r="A8" s="1331"/>
      <c r="B8" s="1332"/>
      <c r="C8" s="1409"/>
      <c r="D8" s="1408" t="s">
        <v>300</v>
      </c>
      <c r="E8" s="1408" t="s">
        <v>301</v>
      </c>
      <c r="F8" s="1408" t="s">
        <v>302</v>
      </c>
      <c r="G8" s="1409"/>
      <c r="H8" s="1408" t="s">
        <v>303</v>
      </c>
      <c r="I8" s="1408" t="s">
        <v>304</v>
      </c>
      <c r="J8" s="1408" t="s">
        <v>305</v>
      </c>
      <c r="K8" s="1408" t="s">
        <v>306</v>
      </c>
      <c r="L8" s="1408" t="s">
        <v>307</v>
      </c>
    </row>
    <row r="9" spans="1:12" ht="77.25" customHeight="1">
      <c r="A9" s="1333"/>
      <c r="B9" s="1334"/>
      <c r="C9" s="1410"/>
      <c r="D9" s="1410"/>
      <c r="E9" s="1410"/>
      <c r="F9" s="1410"/>
      <c r="G9" s="1410"/>
      <c r="H9" s="1410"/>
      <c r="I9" s="1410"/>
      <c r="J9" s="1410"/>
      <c r="K9" s="1410"/>
      <c r="L9" s="1410"/>
    </row>
    <row r="10" spans="1:12" s="280" customFormat="1" ht="16.5" customHeight="1">
      <c r="A10" s="1421" t="s">
        <v>6</v>
      </c>
      <c r="B10" s="1422"/>
      <c r="C10" s="229">
        <v>1</v>
      </c>
      <c r="D10" s="229">
        <v>2</v>
      </c>
      <c r="E10" s="229">
        <v>3</v>
      </c>
      <c r="F10" s="229">
        <v>4</v>
      </c>
      <c r="G10" s="229">
        <v>5</v>
      </c>
      <c r="H10" s="229">
        <v>6</v>
      </c>
      <c r="I10" s="229">
        <v>7</v>
      </c>
      <c r="J10" s="229">
        <v>8</v>
      </c>
      <c r="K10" s="230" t="s">
        <v>77</v>
      </c>
      <c r="L10" s="230" t="s">
        <v>100</v>
      </c>
    </row>
    <row r="11" spans="1:12" s="280" customFormat="1" ht="16.5" customHeight="1">
      <c r="A11" s="1425" t="s">
        <v>405</v>
      </c>
      <c r="B11" s="1426"/>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423" t="s">
        <v>406</v>
      </c>
      <c r="B12" s="1424"/>
      <c r="C12" s="233">
        <v>12</v>
      </c>
      <c r="D12" s="233">
        <v>0</v>
      </c>
      <c r="E12" s="233">
        <v>1</v>
      </c>
      <c r="F12" s="233">
        <v>11</v>
      </c>
      <c r="G12" s="233">
        <v>10</v>
      </c>
      <c r="H12" s="233">
        <v>0</v>
      </c>
      <c r="I12" s="233">
        <v>0</v>
      </c>
      <c r="J12" s="233">
        <v>0</v>
      </c>
      <c r="K12" s="233">
        <v>6</v>
      </c>
      <c r="L12" s="233">
        <v>4</v>
      </c>
    </row>
    <row r="13" spans="1:32" s="280" customFormat="1" ht="16.5" customHeight="1">
      <c r="A13" s="1417" t="s">
        <v>36</v>
      </c>
      <c r="B13" s="1418"/>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226</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18</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11" t="s">
        <v>393</v>
      </c>
      <c r="B28" s="1311"/>
      <c r="C28" s="1311"/>
      <c r="D28" s="1311"/>
      <c r="E28" s="1311"/>
      <c r="F28" s="191"/>
      <c r="G28" s="190"/>
      <c r="H28" s="303" t="s">
        <v>438</v>
      </c>
      <c r="I28" s="304"/>
      <c r="J28" s="304"/>
      <c r="K28" s="304"/>
      <c r="L28" s="304"/>
      <c r="AG28" s="242" t="s">
        <v>394</v>
      </c>
      <c r="AI28" s="199">
        <f>82/88</f>
        <v>0.9318181818181818</v>
      </c>
    </row>
    <row r="29" spans="1:12" ht="15" customHeight="1">
      <c r="A29" s="1324" t="s">
        <v>4</v>
      </c>
      <c r="B29" s="1324"/>
      <c r="C29" s="1324"/>
      <c r="D29" s="1324"/>
      <c r="E29" s="1324"/>
      <c r="F29" s="191"/>
      <c r="G29" s="192"/>
      <c r="H29" s="1327" t="s">
        <v>249</v>
      </c>
      <c r="I29" s="1327"/>
      <c r="J29" s="1327"/>
      <c r="K29" s="1327"/>
      <c r="L29" s="1327"/>
    </row>
    <row r="30" spans="1:14" s="179" customFormat="1" ht="18.75">
      <c r="A30" s="1321"/>
      <c r="B30" s="1321"/>
      <c r="C30" s="1321"/>
      <c r="D30" s="1321"/>
      <c r="E30" s="1321"/>
      <c r="F30" s="305"/>
      <c r="G30" s="191"/>
      <c r="H30" s="1322"/>
      <c r="I30" s="1322"/>
      <c r="J30" s="1322"/>
      <c r="K30" s="1322"/>
      <c r="L30" s="1322"/>
      <c r="M30" s="306"/>
      <c r="N30" s="306"/>
    </row>
    <row r="31" spans="1:12" ht="18">
      <c r="A31" s="191"/>
      <c r="B31" s="191"/>
      <c r="C31" s="191"/>
      <c r="D31" s="191"/>
      <c r="E31" s="191"/>
      <c r="F31" s="191"/>
      <c r="G31" s="191"/>
      <c r="H31" s="191"/>
      <c r="I31" s="191"/>
      <c r="J31" s="191"/>
      <c r="K31" s="191"/>
      <c r="L31" s="307"/>
    </row>
    <row r="32" spans="1:12" ht="18">
      <c r="A32" s="191"/>
      <c r="B32" s="1402" t="s">
        <v>397</v>
      </c>
      <c r="C32" s="1402"/>
      <c r="D32" s="1402"/>
      <c r="E32" s="1402"/>
      <c r="F32" s="191"/>
      <c r="G32" s="191"/>
      <c r="H32" s="191"/>
      <c r="I32" s="1402" t="s">
        <v>397</v>
      </c>
      <c r="J32" s="1402"/>
      <c r="K32" s="1402"/>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46</v>
      </c>
      <c r="B39" s="191"/>
      <c r="C39" s="191"/>
      <c r="D39" s="191"/>
      <c r="E39" s="191"/>
      <c r="F39" s="191"/>
      <c r="G39" s="191"/>
      <c r="H39" s="310"/>
      <c r="I39" s="310"/>
      <c r="J39" s="310"/>
      <c r="K39" s="310"/>
      <c r="L39" s="310"/>
    </row>
    <row r="40" spans="1:16" ht="18" customHeight="1" hidden="1">
      <c r="A40" s="312"/>
      <c r="B40" s="1411" t="s">
        <v>308</v>
      </c>
      <c r="C40" s="1411"/>
      <c r="D40" s="1411"/>
      <c r="E40" s="1411"/>
      <c r="F40" s="1411"/>
      <c r="G40" s="312"/>
      <c r="H40" s="310"/>
      <c r="I40" s="310"/>
      <c r="J40" s="310"/>
      <c r="K40" s="310"/>
      <c r="L40" s="310"/>
      <c r="M40" s="274"/>
      <c r="N40" s="274"/>
      <c r="O40" s="274"/>
      <c r="P40" s="274"/>
    </row>
    <row r="41" spans="1:12" ht="12.75" customHeight="1" hidden="1">
      <c r="A41" s="191"/>
      <c r="B41" s="288" t="s">
        <v>309</v>
      </c>
      <c r="C41" s="313"/>
      <c r="D41" s="313"/>
      <c r="E41" s="313"/>
      <c r="F41" s="313"/>
      <c r="G41" s="191"/>
      <c r="H41" s="310"/>
      <c r="I41" s="310"/>
      <c r="J41" s="310"/>
      <c r="K41" s="310"/>
      <c r="L41" s="310"/>
    </row>
    <row r="42" spans="1:12" ht="12.75" customHeight="1" hidden="1">
      <c r="A42" s="191"/>
      <c r="B42" s="245" t="s">
        <v>310</v>
      </c>
      <c r="C42" s="313"/>
      <c r="D42" s="313"/>
      <c r="E42" s="313"/>
      <c r="F42" s="313"/>
      <c r="G42" s="191"/>
      <c r="H42" s="310"/>
      <c r="I42" s="310"/>
      <c r="J42" s="310"/>
      <c r="K42" s="310"/>
      <c r="L42" s="310"/>
    </row>
    <row r="43" spans="1:12" ht="18.75">
      <c r="A43" s="1194" t="s">
        <v>439</v>
      </c>
      <c r="B43" s="1194"/>
      <c r="C43" s="1194"/>
      <c r="D43" s="1194"/>
      <c r="E43" s="1194"/>
      <c r="F43" s="191"/>
      <c r="G43" s="310"/>
      <c r="H43" s="1195" t="s">
        <v>351</v>
      </c>
      <c r="I43" s="1195"/>
      <c r="J43" s="1195"/>
      <c r="K43" s="1195"/>
      <c r="L43" s="1195"/>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339" t="s">
        <v>311</v>
      </c>
      <c r="B1" s="1339"/>
      <c r="C1" s="1339"/>
      <c r="D1" s="1339"/>
      <c r="E1" s="315"/>
      <c r="F1" s="1335" t="s">
        <v>474</v>
      </c>
      <c r="G1" s="1335"/>
      <c r="H1" s="1335"/>
      <c r="I1" s="1335"/>
      <c r="J1" s="1335"/>
      <c r="K1" s="1335"/>
      <c r="L1" s="1335"/>
      <c r="M1" s="1335"/>
      <c r="N1" s="1335"/>
      <c r="O1" s="1335"/>
      <c r="P1" s="316" t="s">
        <v>398</v>
      </c>
      <c r="Q1" s="317"/>
      <c r="R1" s="317"/>
      <c r="S1" s="317"/>
      <c r="T1" s="317"/>
    </row>
    <row r="2" spans="1:20" s="186" customFormat="1" ht="20.25" customHeight="1">
      <c r="A2" s="1430" t="s">
        <v>408</v>
      </c>
      <c r="B2" s="1430"/>
      <c r="C2" s="1430"/>
      <c r="D2" s="1430"/>
      <c r="E2" s="315"/>
      <c r="F2" s="1335"/>
      <c r="G2" s="1335"/>
      <c r="H2" s="1335"/>
      <c r="I2" s="1335"/>
      <c r="J2" s="1335"/>
      <c r="K2" s="1335"/>
      <c r="L2" s="1335"/>
      <c r="M2" s="1335"/>
      <c r="N2" s="1335"/>
      <c r="O2" s="1335"/>
      <c r="P2" s="317" t="s">
        <v>440</v>
      </c>
      <c r="Q2" s="317"/>
      <c r="R2" s="317"/>
      <c r="S2" s="317"/>
      <c r="T2" s="317"/>
    </row>
    <row r="3" spans="1:20" s="186" customFormat="1" ht="15" customHeight="1">
      <c r="A3" s="1430" t="s">
        <v>360</v>
      </c>
      <c r="B3" s="1430"/>
      <c r="C3" s="1430"/>
      <c r="D3" s="1430"/>
      <c r="E3" s="315"/>
      <c r="F3" s="1335"/>
      <c r="G3" s="1335"/>
      <c r="H3" s="1335"/>
      <c r="I3" s="1335"/>
      <c r="J3" s="1335"/>
      <c r="K3" s="1335"/>
      <c r="L3" s="1335"/>
      <c r="M3" s="1335"/>
      <c r="N3" s="1335"/>
      <c r="O3" s="1335"/>
      <c r="P3" s="316" t="s">
        <v>466</v>
      </c>
      <c r="Q3" s="316"/>
      <c r="R3" s="316"/>
      <c r="S3" s="318"/>
      <c r="T3" s="318"/>
    </row>
    <row r="4" spans="1:20" s="186" customFormat="1" ht="15.75" customHeight="1">
      <c r="A4" s="1434" t="s">
        <v>441</v>
      </c>
      <c r="B4" s="1434"/>
      <c r="C4" s="1434"/>
      <c r="D4" s="1434"/>
      <c r="E4" s="316"/>
      <c r="F4" s="1335"/>
      <c r="G4" s="1335"/>
      <c r="H4" s="1335"/>
      <c r="I4" s="1335"/>
      <c r="J4" s="1335"/>
      <c r="K4" s="1335"/>
      <c r="L4" s="1335"/>
      <c r="M4" s="1335"/>
      <c r="N4" s="1335"/>
      <c r="O4" s="1335"/>
      <c r="P4" s="317" t="s">
        <v>410</v>
      </c>
      <c r="Q4" s="316"/>
      <c r="R4" s="316"/>
      <c r="S4" s="318"/>
      <c r="T4" s="318"/>
    </row>
    <row r="5" spans="1:18" s="186" customFormat="1" ht="24" customHeight="1">
      <c r="A5" s="319"/>
      <c r="B5" s="319"/>
      <c r="C5" s="319"/>
      <c r="F5" s="1429"/>
      <c r="G5" s="1429"/>
      <c r="H5" s="1429"/>
      <c r="I5" s="1429"/>
      <c r="J5" s="1429"/>
      <c r="K5" s="1429"/>
      <c r="L5" s="1429"/>
      <c r="M5" s="1429"/>
      <c r="N5" s="1429"/>
      <c r="O5" s="1429"/>
      <c r="P5" s="320" t="s">
        <v>442</v>
      </c>
      <c r="Q5" s="321"/>
      <c r="R5" s="321"/>
    </row>
    <row r="6" spans="1:20" s="322" customFormat="1" ht="21.75" customHeight="1">
      <c r="A6" s="1435" t="s">
        <v>71</v>
      </c>
      <c r="B6" s="1436"/>
      <c r="C6" s="1342" t="s">
        <v>37</v>
      </c>
      <c r="D6" s="1345"/>
      <c r="E6" s="1342" t="s">
        <v>7</v>
      </c>
      <c r="F6" s="1431"/>
      <c r="G6" s="1431"/>
      <c r="H6" s="1431"/>
      <c r="I6" s="1431"/>
      <c r="J6" s="1431"/>
      <c r="K6" s="1431"/>
      <c r="L6" s="1431"/>
      <c r="M6" s="1431"/>
      <c r="N6" s="1431"/>
      <c r="O6" s="1431"/>
      <c r="P6" s="1431"/>
      <c r="Q6" s="1431"/>
      <c r="R6" s="1431"/>
      <c r="S6" s="1431"/>
      <c r="T6" s="1345"/>
    </row>
    <row r="7" spans="1:21" s="322" customFormat="1" ht="22.5" customHeight="1">
      <c r="A7" s="1437"/>
      <c r="B7" s="1438"/>
      <c r="C7" s="1314" t="s">
        <v>443</v>
      </c>
      <c r="D7" s="1314" t="s">
        <v>444</v>
      </c>
      <c r="E7" s="1342" t="s">
        <v>312</v>
      </c>
      <c r="F7" s="1439"/>
      <c r="G7" s="1439"/>
      <c r="H7" s="1439"/>
      <c r="I7" s="1439"/>
      <c r="J7" s="1439"/>
      <c r="K7" s="1439"/>
      <c r="L7" s="1440"/>
      <c r="M7" s="1342" t="s">
        <v>445</v>
      </c>
      <c r="N7" s="1431"/>
      <c r="O7" s="1431"/>
      <c r="P7" s="1431"/>
      <c r="Q7" s="1431"/>
      <c r="R7" s="1431"/>
      <c r="S7" s="1431"/>
      <c r="T7" s="1345"/>
      <c r="U7" s="323"/>
    </row>
    <row r="8" spans="1:20" s="322" customFormat="1" ht="42.75" customHeight="1">
      <c r="A8" s="1437"/>
      <c r="B8" s="1438"/>
      <c r="C8" s="1315"/>
      <c r="D8" s="1315"/>
      <c r="E8" s="1313" t="s">
        <v>446</v>
      </c>
      <c r="F8" s="1313"/>
      <c r="G8" s="1342" t="s">
        <v>447</v>
      </c>
      <c r="H8" s="1431"/>
      <c r="I8" s="1431"/>
      <c r="J8" s="1431"/>
      <c r="K8" s="1431"/>
      <c r="L8" s="1345"/>
      <c r="M8" s="1313" t="s">
        <v>448</v>
      </c>
      <c r="N8" s="1313"/>
      <c r="O8" s="1342" t="s">
        <v>447</v>
      </c>
      <c r="P8" s="1431"/>
      <c r="Q8" s="1431"/>
      <c r="R8" s="1431"/>
      <c r="S8" s="1431"/>
      <c r="T8" s="1345"/>
    </row>
    <row r="9" spans="1:20" s="322" customFormat="1" ht="35.25" customHeight="1">
      <c r="A9" s="1437"/>
      <c r="B9" s="1438"/>
      <c r="C9" s="1315"/>
      <c r="D9" s="1315"/>
      <c r="E9" s="1314" t="s">
        <v>313</v>
      </c>
      <c r="F9" s="1314" t="s">
        <v>314</v>
      </c>
      <c r="G9" s="1427" t="s">
        <v>315</v>
      </c>
      <c r="H9" s="1428"/>
      <c r="I9" s="1427" t="s">
        <v>316</v>
      </c>
      <c r="J9" s="1428"/>
      <c r="K9" s="1427" t="s">
        <v>317</v>
      </c>
      <c r="L9" s="1428"/>
      <c r="M9" s="1314" t="s">
        <v>318</v>
      </c>
      <c r="N9" s="1314" t="s">
        <v>314</v>
      </c>
      <c r="O9" s="1427" t="s">
        <v>315</v>
      </c>
      <c r="P9" s="1428"/>
      <c r="Q9" s="1427" t="s">
        <v>319</v>
      </c>
      <c r="R9" s="1428"/>
      <c r="S9" s="1427" t="s">
        <v>320</v>
      </c>
      <c r="T9" s="1428"/>
    </row>
    <row r="10" spans="1:20" s="322" customFormat="1" ht="25.5" customHeight="1">
      <c r="A10" s="1427"/>
      <c r="B10" s="1428"/>
      <c r="C10" s="1316"/>
      <c r="D10" s="1316"/>
      <c r="E10" s="1316"/>
      <c r="F10" s="1316"/>
      <c r="G10" s="224" t="s">
        <v>318</v>
      </c>
      <c r="H10" s="224" t="s">
        <v>314</v>
      </c>
      <c r="I10" s="228" t="s">
        <v>318</v>
      </c>
      <c r="J10" s="224" t="s">
        <v>314</v>
      </c>
      <c r="K10" s="228" t="s">
        <v>318</v>
      </c>
      <c r="L10" s="224" t="s">
        <v>314</v>
      </c>
      <c r="M10" s="1316"/>
      <c r="N10" s="1316"/>
      <c r="O10" s="224" t="s">
        <v>318</v>
      </c>
      <c r="P10" s="224" t="s">
        <v>314</v>
      </c>
      <c r="Q10" s="228" t="s">
        <v>318</v>
      </c>
      <c r="R10" s="224" t="s">
        <v>314</v>
      </c>
      <c r="S10" s="228" t="s">
        <v>318</v>
      </c>
      <c r="T10" s="224" t="s">
        <v>314</v>
      </c>
    </row>
    <row r="11" spans="1:32" s="231" customFormat="1" ht="12.75">
      <c r="A11" s="1441" t="s">
        <v>6</v>
      </c>
      <c r="B11" s="1442"/>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446" t="s">
        <v>430</v>
      </c>
      <c r="B12" s="1447"/>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44" t="s">
        <v>406</v>
      </c>
      <c r="B13" s="1445"/>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32" t="s">
        <v>36</v>
      </c>
      <c r="B14" s="1433"/>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226</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18</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311" t="s">
        <v>393</v>
      </c>
      <c r="C29" s="1311"/>
      <c r="D29" s="1311"/>
      <c r="E29" s="1311"/>
      <c r="F29" s="1311"/>
      <c r="G29" s="1311"/>
      <c r="H29" s="190"/>
      <c r="I29" s="190"/>
      <c r="J29" s="191"/>
      <c r="K29" s="190"/>
      <c r="L29" s="1318" t="s">
        <v>393</v>
      </c>
      <c r="M29" s="1318"/>
      <c r="N29" s="1318"/>
      <c r="O29" s="1318"/>
      <c r="P29" s="1318"/>
      <c r="Q29" s="1318"/>
      <c r="R29" s="1318"/>
      <c r="S29" s="1318"/>
      <c r="T29" s="1318"/>
    </row>
    <row r="30" spans="1:20" ht="15" customHeight="1">
      <c r="A30" s="189"/>
      <c r="B30" s="1324" t="s">
        <v>42</v>
      </c>
      <c r="C30" s="1324"/>
      <c r="D30" s="1324"/>
      <c r="E30" s="1324"/>
      <c r="F30" s="1324"/>
      <c r="G30" s="1324"/>
      <c r="H30" s="192"/>
      <c r="I30" s="192"/>
      <c r="J30" s="192"/>
      <c r="K30" s="192"/>
      <c r="L30" s="1327" t="s">
        <v>349</v>
      </c>
      <c r="M30" s="1327"/>
      <c r="N30" s="1327"/>
      <c r="O30" s="1327"/>
      <c r="P30" s="1327"/>
      <c r="Q30" s="1327"/>
      <c r="R30" s="1327"/>
      <c r="S30" s="1327"/>
      <c r="T30" s="1327"/>
    </row>
    <row r="31" spans="1:20" s="329" customFormat="1" ht="18.75">
      <c r="A31" s="327"/>
      <c r="B31" s="1321"/>
      <c r="C31" s="1321"/>
      <c r="D31" s="1321"/>
      <c r="E31" s="1321"/>
      <c r="F31" s="1321"/>
      <c r="G31" s="328"/>
      <c r="H31" s="328"/>
      <c r="I31" s="328"/>
      <c r="J31" s="328"/>
      <c r="K31" s="328"/>
      <c r="L31" s="1322"/>
      <c r="M31" s="1322"/>
      <c r="N31" s="1322"/>
      <c r="O31" s="1322"/>
      <c r="P31" s="1322"/>
      <c r="Q31" s="1322"/>
      <c r="R31" s="1322"/>
      <c r="S31" s="1322"/>
      <c r="T31" s="1322"/>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43" t="s">
        <v>397</v>
      </c>
      <c r="C33" s="1443"/>
      <c r="D33" s="1443"/>
      <c r="E33" s="1443"/>
      <c r="F33" s="1443"/>
      <c r="G33" s="330"/>
      <c r="H33" s="330"/>
      <c r="I33" s="330"/>
      <c r="J33" s="330"/>
      <c r="K33" s="330"/>
      <c r="L33" s="330"/>
      <c r="M33" s="330"/>
      <c r="N33" s="330"/>
      <c r="O33" s="1443" t="s">
        <v>397</v>
      </c>
      <c r="P33" s="1443"/>
      <c r="Q33" s="1443"/>
      <c r="R33" s="328"/>
      <c r="S33" s="328"/>
      <c r="T33" s="328"/>
    </row>
    <row r="34" spans="1:20" s="193" customFormat="1" ht="18.75" hidden="1">
      <c r="A34" s="244" t="s">
        <v>46</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308</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309</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321</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194" t="s">
        <v>350</v>
      </c>
      <c r="C39" s="1194"/>
      <c r="D39" s="1194"/>
      <c r="E39" s="1194"/>
      <c r="F39" s="1194"/>
      <c r="G39" s="1194"/>
      <c r="H39" s="191"/>
      <c r="I39" s="191"/>
      <c r="J39" s="191"/>
      <c r="K39" s="191"/>
      <c r="L39" s="1195" t="s">
        <v>351</v>
      </c>
      <c r="M39" s="1195"/>
      <c r="N39" s="1195"/>
      <c r="O39" s="1195"/>
      <c r="P39" s="1195"/>
      <c r="Q39" s="1195"/>
      <c r="R39" s="1195"/>
      <c r="S39" s="1195"/>
      <c r="T39" s="1195"/>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C7:C10"/>
    <mergeCell ref="F9:F10"/>
    <mergeCell ref="L39:T39"/>
    <mergeCell ref="N9:N10"/>
    <mergeCell ref="B39:G39"/>
    <mergeCell ref="A13:B13"/>
    <mergeCell ref="B33:F33"/>
    <mergeCell ref="L29:T29"/>
    <mergeCell ref="B31:F31"/>
    <mergeCell ref="L31:T31"/>
    <mergeCell ref="A12:B12"/>
    <mergeCell ref="E9:E10"/>
    <mergeCell ref="E6:T6"/>
    <mergeCell ref="L30:T30"/>
    <mergeCell ref="K9:L9"/>
    <mergeCell ref="M8:N8"/>
    <mergeCell ref="O33:Q33"/>
    <mergeCell ref="O9:P9"/>
    <mergeCell ref="B29:G29"/>
    <mergeCell ref="B30:G30"/>
    <mergeCell ref="M7:T7"/>
    <mergeCell ref="A3:D3"/>
    <mergeCell ref="E8:F8"/>
    <mergeCell ref="A14:B14"/>
    <mergeCell ref="A4:D4"/>
    <mergeCell ref="S9:T9"/>
    <mergeCell ref="A6:B10"/>
    <mergeCell ref="I9:J9"/>
    <mergeCell ref="E7:L7"/>
    <mergeCell ref="A11:B11"/>
    <mergeCell ref="G8:L8"/>
    <mergeCell ref="C6:D6"/>
    <mergeCell ref="G9:H9"/>
    <mergeCell ref="A1:D1"/>
    <mergeCell ref="Q9:R9"/>
    <mergeCell ref="M9:M10"/>
    <mergeCell ref="F1:O4"/>
    <mergeCell ref="D7:D10"/>
    <mergeCell ref="F5:O5"/>
    <mergeCell ref="A2:D2"/>
    <mergeCell ref="O8:T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2017-04-07T16:40:55Z</cp:lastPrinted>
  <dcterms:created xsi:type="dcterms:W3CDTF">2004-03-07T02:36:29Z</dcterms:created>
  <dcterms:modified xsi:type="dcterms:W3CDTF">2017-04-07T03:38:37Z</dcterms:modified>
  <cp:category/>
  <cp:version/>
  <cp:contentType/>
  <cp:contentStatus/>
</cp:coreProperties>
</file>